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\\FNFMB-AD01\RedirectedFolders\Mylon_Ollila\My Documents\Drafting\"/>
    </mc:Choice>
  </mc:AlternateContent>
  <bookViews>
    <workbookView xWindow="0" yWindow="0" windowWidth="19200" windowHeight="7050" tabRatio="977"/>
  </bookViews>
  <sheets>
    <sheet name="Title" sheetId="1" r:id="rId1"/>
    <sheet name="Cash Flow" sheetId="32" r:id="rId2"/>
    <sheet name="INAC Funding" sheetId="35" r:id="rId3"/>
    <sheet name="Fund Distributions" sheetId="5" r:id="rId4"/>
    <sheet name="BUD Summary - Dept" sheetId="2" r:id="rId5"/>
    <sheet name="BUD Summary - Band Entities" sheetId="3" r:id="rId6"/>
    <sheet name="Dept 1" sheetId="6" r:id="rId7"/>
    <sheet name="Dept 4" sheetId="8" r:id="rId8"/>
    <sheet name="Dept 5" sheetId="9" r:id="rId9"/>
    <sheet name="Dept 6" sheetId="10" r:id="rId10"/>
    <sheet name="Dept 8" sheetId="11" r:id="rId11"/>
    <sheet name="Dept 10" sheetId="12" r:id="rId12"/>
    <sheet name="Dept 11" sheetId="13" r:id="rId13"/>
    <sheet name="Dept 12" sheetId="14" r:id="rId14"/>
    <sheet name="Dept 13" sheetId="15" r:id="rId15"/>
    <sheet name="Dept 16" sheetId="16" r:id="rId16"/>
    <sheet name="Dept 18" sheetId="17" r:id="rId17"/>
    <sheet name="Dept 19" sheetId="18" r:id="rId18"/>
    <sheet name="Dept 22" sheetId="20" r:id="rId19"/>
    <sheet name="Dept 24" sheetId="21" r:id="rId20"/>
    <sheet name="Dept 32" sheetId="22" r:id="rId21"/>
    <sheet name="Dept 34" sheetId="23" r:id="rId22"/>
    <sheet name="Dept 36" sheetId="24" r:id="rId23"/>
    <sheet name="Dept 40" sheetId="26" r:id="rId24"/>
    <sheet name="Dept 52" sheetId="27" r:id="rId25"/>
    <sheet name="Dept 55" sheetId="45" r:id="rId26"/>
    <sheet name="Dept 58" sheetId="28" r:id="rId27"/>
    <sheet name="Dept 84" sheetId="29" r:id="rId28"/>
    <sheet name="Post Office" sheetId="7" r:id="rId29"/>
    <sheet name="Education" sheetId="34" r:id="rId30"/>
    <sheet name="S&amp;R - Admin" sheetId="36" r:id="rId31"/>
    <sheet name="S&amp;R - Bingo" sheetId="37" r:id="rId32"/>
    <sheet name="Gaming" sheetId="38" r:id="rId33"/>
    <sheet name="CMHC Housing" sheetId="39" r:id="rId34"/>
    <sheet name="PCH" sheetId="40" r:id="rId35"/>
    <sheet name="Healing Centre" sheetId="42" r:id="rId36"/>
    <sheet name="FRED" sheetId="43" r:id="rId37"/>
    <sheet name="Health" sheetId="44" r:id="rId38"/>
    <sheet name="LTD Summary" sheetId="31" r:id="rId39"/>
  </sheets>
  <externalReferences>
    <externalReference r:id="rId40"/>
  </externalReferences>
  <definedNames>
    <definedName name="CableTV_WTB">#REF!</definedName>
    <definedName name="Educ_WTB">#REF!</definedName>
    <definedName name="Education_WTB">#REF!</definedName>
    <definedName name="Kichi_WTB">#REF!</definedName>
    <definedName name="Rev_WTB">#REF!</definedName>
    <definedName name="StaffRes">#REF!</definedName>
    <definedName name="TB">#REF!</definedName>
    <definedName name="WTB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43" l="1"/>
  <c r="L27" i="43"/>
  <c r="K27" i="43"/>
  <c r="J27" i="43"/>
  <c r="I27" i="43"/>
  <c r="H27" i="43"/>
  <c r="G27" i="43"/>
  <c r="F27" i="43"/>
  <c r="E27" i="43"/>
  <c r="D27" i="43"/>
  <c r="C27" i="43"/>
  <c r="B27" i="43"/>
  <c r="N27" i="43" s="1"/>
  <c r="C50" i="43" s="1"/>
  <c r="M26" i="43"/>
  <c r="L26" i="43"/>
  <c r="K26" i="43"/>
  <c r="J26" i="43"/>
  <c r="I26" i="43"/>
  <c r="H26" i="43"/>
  <c r="G26" i="43"/>
  <c r="F26" i="43"/>
  <c r="E26" i="43"/>
  <c r="D26" i="43"/>
  <c r="C26" i="43"/>
  <c r="B26" i="43"/>
  <c r="N26" i="43" s="1"/>
  <c r="C49" i="43" s="1"/>
  <c r="M25" i="43"/>
  <c r="L25" i="43"/>
  <c r="K25" i="43"/>
  <c r="J25" i="43"/>
  <c r="I25" i="43"/>
  <c r="H25" i="43"/>
  <c r="G25" i="43"/>
  <c r="F25" i="43"/>
  <c r="E25" i="43"/>
  <c r="D25" i="43"/>
  <c r="C25" i="43"/>
  <c r="B25" i="43"/>
  <c r="N25" i="43" s="1"/>
  <c r="C48" i="43" s="1"/>
  <c r="M24" i="43"/>
  <c r="L24" i="43"/>
  <c r="K24" i="43"/>
  <c r="J24" i="43"/>
  <c r="I24" i="43"/>
  <c r="H24" i="43"/>
  <c r="G24" i="43"/>
  <c r="F24" i="43"/>
  <c r="E24" i="43"/>
  <c r="D24" i="43"/>
  <c r="C24" i="43"/>
  <c r="B24" i="43"/>
  <c r="N24" i="43" s="1"/>
  <c r="C47" i="43" s="1"/>
  <c r="M23" i="43"/>
  <c r="L23" i="43"/>
  <c r="K23" i="43"/>
  <c r="J23" i="43"/>
  <c r="I23" i="43"/>
  <c r="H23" i="43"/>
  <c r="G23" i="43"/>
  <c r="F23" i="43"/>
  <c r="E23" i="43"/>
  <c r="D23" i="43"/>
  <c r="C23" i="43"/>
  <c r="B23" i="43"/>
  <c r="N23" i="43" s="1"/>
  <c r="C46" i="43" s="1"/>
  <c r="M22" i="43"/>
  <c r="L22" i="43"/>
  <c r="K22" i="43"/>
  <c r="J22" i="43"/>
  <c r="I22" i="43"/>
  <c r="H22" i="43"/>
  <c r="G22" i="43"/>
  <c r="F22" i="43"/>
  <c r="E22" i="43"/>
  <c r="D22" i="43"/>
  <c r="C22" i="43"/>
  <c r="B22" i="43"/>
  <c r="N22" i="43" s="1"/>
  <c r="C45" i="43" s="1"/>
  <c r="M21" i="43"/>
  <c r="L21" i="43"/>
  <c r="K21" i="43"/>
  <c r="J21" i="43"/>
  <c r="I21" i="43"/>
  <c r="H21" i="43"/>
  <c r="G21" i="43"/>
  <c r="F21" i="43"/>
  <c r="E21" i="43"/>
  <c r="D21" i="43"/>
  <c r="C21" i="43"/>
  <c r="B21" i="43"/>
  <c r="M20" i="43"/>
  <c r="M29" i="43" s="1"/>
  <c r="L20" i="43"/>
  <c r="L29" i="43" s="1"/>
  <c r="K20" i="43"/>
  <c r="K29" i="43" s="1"/>
  <c r="J20" i="43"/>
  <c r="J29" i="43" s="1"/>
  <c r="I20" i="43"/>
  <c r="I29" i="43" s="1"/>
  <c r="H20" i="43"/>
  <c r="H29" i="43" s="1"/>
  <c r="G20" i="43"/>
  <c r="G29" i="43" s="1"/>
  <c r="F20" i="43"/>
  <c r="E20" i="43"/>
  <c r="E29" i="43" s="1"/>
  <c r="D20" i="43"/>
  <c r="D29" i="43" s="1"/>
  <c r="C20" i="43"/>
  <c r="C29" i="43" s="1"/>
  <c r="B20" i="43"/>
  <c r="B29" i="43" s="1"/>
  <c r="M16" i="43"/>
  <c r="L16" i="43"/>
  <c r="K16" i="43"/>
  <c r="J16" i="43"/>
  <c r="I16" i="43"/>
  <c r="H16" i="43"/>
  <c r="G16" i="43"/>
  <c r="F16" i="43"/>
  <c r="E16" i="43"/>
  <c r="D16" i="43"/>
  <c r="C16" i="43"/>
  <c r="B16" i="43"/>
  <c r="N16" i="43" s="1"/>
  <c r="B50" i="43" s="1"/>
  <c r="D50" i="43" s="1"/>
  <c r="M15" i="43"/>
  <c r="L15" i="43"/>
  <c r="K15" i="43"/>
  <c r="J15" i="43"/>
  <c r="I15" i="43"/>
  <c r="H15" i="43"/>
  <c r="G15" i="43"/>
  <c r="F15" i="43"/>
  <c r="E15" i="43"/>
  <c r="D15" i="43"/>
  <c r="C15" i="43"/>
  <c r="B15" i="43"/>
  <c r="N15" i="43" s="1"/>
  <c r="B49" i="43" s="1"/>
  <c r="D49" i="43" s="1"/>
  <c r="M14" i="43"/>
  <c r="L14" i="43"/>
  <c r="K14" i="43"/>
  <c r="J14" i="43"/>
  <c r="I14" i="43"/>
  <c r="H14" i="43"/>
  <c r="G14" i="43"/>
  <c r="F14" i="43"/>
  <c r="E14" i="43"/>
  <c r="D14" i="43"/>
  <c r="C14" i="43"/>
  <c r="B14" i="43"/>
  <c r="N14" i="43" s="1"/>
  <c r="B48" i="43" s="1"/>
  <c r="D48" i="43" s="1"/>
  <c r="M13" i="43"/>
  <c r="L13" i="43"/>
  <c r="K13" i="43"/>
  <c r="J13" i="43"/>
  <c r="I13" i="43"/>
  <c r="H13" i="43"/>
  <c r="G13" i="43"/>
  <c r="F13" i="43"/>
  <c r="E13" i="43"/>
  <c r="D13" i="43"/>
  <c r="C13" i="43"/>
  <c r="B13" i="43"/>
  <c r="N13" i="43" s="1"/>
  <c r="B47" i="43" s="1"/>
  <c r="D47" i="43" s="1"/>
  <c r="M12" i="43"/>
  <c r="L12" i="43"/>
  <c r="K12" i="43"/>
  <c r="J12" i="43"/>
  <c r="I12" i="43"/>
  <c r="H12" i="43"/>
  <c r="G12" i="43"/>
  <c r="F12" i="43"/>
  <c r="E12" i="43"/>
  <c r="D12" i="43"/>
  <c r="C12" i="43"/>
  <c r="B12" i="43"/>
  <c r="N12" i="43" s="1"/>
  <c r="B46" i="43" s="1"/>
  <c r="D46" i="43" s="1"/>
  <c r="M11" i="43"/>
  <c r="L11" i="43"/>
  <c r="K11" i="43"/>
  <c r="J11" i="43"/>
  <c r="I11" i="43"/>
  <c r="H11" i="43"/>
  <c r="G11" i="43"/>
  <c r="F11" i="43"/>
  <c r="E11" i="43"/>
  <c r="D11" i="43"/>
  <c r="C11" i="43"/>
  <c r="B11" i="43"/>
  <c r="N11" i="43" s="1"/>
  <c r="B45" i="43" s="1"/>
  <c r="D45" i="43" s="1"/>
  <c r="M10" i="43"/>
  <c r="L10" i="43"/>
  <c r="K10" i="43"/>
  <c r="J10" i="43"/>
  <c r="I10" i="43"/>
  <c r="H10" i="43"/>
  <c r="G10" i="43"/>
  <c r="F10" i="43"/>
  <c r="E10" i="43"/>
  <c r="D10" i="43"/>
  <c r="C10" i="43"/>
  <c r="B10" i="43"/>
  <c r="N10" i="43" s="1"/>
  <c r="B44" i="43" s="1"/>
  <c r="M9" i="43"/>
  <c r="M18" i="43" s="1"/>
  <c r="M31" i="43" s="1"/>
  <c r="L9" i="43"/>
  <c r="L18" i="43" s="1"/>
  <c r="L31" i="43" s="1"/>
  <c r="K9" i="43"/>
  <c r="K18" i="43" s="1"/>
  <c r="K31" i="43" s="1"/>
  <c r="J9" i="43"/>
  <c r="J18" i="43" s="1"/>
  <c r="J31" i="43" s="1"/>
  <c r="I9" i="43"/>
  <c r="I18" i="43" s="1"/>
  <c r="I31" i="43" s="1"/>
  <c r="H9" i="43"/>
  <c r="H18" i="43" s="1"/>
  <c r="H31" i="43" s="1"/>
  <c r="G9" i="43"/>
  <c r="G18" i="43" s="1"/>
  <c r="G31" i="43" s="1"/>
  <c r="F9" i="43"/>
  <c r="F18" i="43" s="1"/>
  <c r="E9" i="43"/>
  <c r="E18" i="43" s="1"/>
  <c r="E31" i="43" s="1"/>
  <c r="D9" i="43"/>
  <c r="D18" i="43" s="1"/>
  <c r="D31" i="43" s="1"/>
  <c r="C9" i="43"/>
  <c r="C18" i="43" s="1"/>
  <c r="C31" i="43" s="1"/>
  <c r="B9" i="43"/>
  <c r="B18" i="43" s="1"/>
  <c r="B31" i="43" s="1"/>
  <c r="B34" i="43" s="1"/>
  <c r="C34" i="43" s="1"/>
  <c r="D34" i="43" s="1"/>
  <c r="E34" i="43" s="1"/>
  <c r="F29" i="43" l="1"/>
  <c r="F31" i="43"/>
  <c r="F34" i="43" s="1"/>
  <c r="G34" i="43" s="1"/>
  <c r="H34" i="43" s="1"/>
  <c r="I34" i="43" s="1"/>
  <c r="J34" i="43" s="1"/>
  <c r="K34" i="43" s="1"/>
  <c r="L34" i="43" s="1"/>
  <c r="M34" i="43" s="1"/>
  <c r="N21" i="43"/>
  <c r="C44" i="43" s="1"/>
  <c r="D44" i="43" s="1"/>
  <c r="N9" i="43"/>
  <c r="N20" i="43"/>
  <c r="F37" i="42"/>
  <c r="F13" i="42"/>
  <c r="C43" i="43" l="1"/>
  <c r="C52" i="43" s="1"/>
  <c r="N29" i="43"/>
  <c r="N18" i="43"/>
  <c r="N31" i="43" s="1"/>
  <c r="N37" i="43" s="1"/>
  <c r="B43" i="43"/>
  <c r="D43" i="43" l="1"/>
  <c r="B52" i="43"/>
  <c r="D52" i="43" s="1"/>
  <c r="G19" i="23"/>
  <c r="G19" i="8"/>
  <c r="G22" i="28"/>
  <c r="G19" i="22"/>
  <c r="G41" i="20"/>
  <c r="G19" i="20"/>
  <c r="G19" i="15"/>
  <c r="G20" i="14"/>
  <c r="G24" i="14"/>
  <c r="G50" i="6"/>
  <c r="G49" i="6"/>
  <c r="G48" i="6"/>
  <c r="G45" i="6"/>
  <c r="G17" i="16" l="1"/>
  <c r="G15" i="16"/>
  <c r="G17" i="9" l="1"/>
  <c r="K17" i="31"/>
  <c r="J17" i="31"/>
  <c r="G27" i="9" s="1"/>
  <c r="G34" i="6"/>
  <c r="B14" i="34" l="1"/>
  <c r="D34" i="3" l="1"/>
  <c r="B34" i="40" l="1"/>
  <c r="G26" i="6" s="1"/>
  <c r="E4" i="31"/>
  <c r="F4" i="31" s="1"/>
  <c r="D5" i="31"/>
  <c r="D6" i="31" s="1"/>
  <c r="I14" i="31"/>
  <c r="F14" i="31"/>
  <c r="J14" i="31" s="1"/>
  <c r="E5" i="31" l="1"/>
  <c r="F5" i="31" s="1"/>
  <c r="G35" i="16"/>
  <c r="D7" i="31"/>
  <c r="E7" i="31" s="1"/>
  <c r="F7" i="31" s="1"/>
  <c r="E6" i="31"/>
  <c r="F6" i="31" s="1"/>
  <c r="G14" i="31"/>
  <c r="K14" i="31" s="1"/>
  <c r="G16" i="31" l="1"/>
  <c r="K16" i="31" s="1"/>
  <c r="F16" i="31"/>
  <c r="G15" i="31"/>
  <c r="K15" i="31" s="1"/>
  <c r="F15" i="31"/>
  <c r="J15" i="31" s="1"/>
  <c r="I8" i="31"/>
  <c r="K9" i="31"/>
  <c r="F10" i="31"/>
  <c r="J10" i="31" s="1"/>
  <c r="K10" i="31" s="1"/>
  <c r="I10" i="31"/>
  <c r="I9" i="31"/>
  <c r="J16" i="31" l="1"/>
  <c r="G49" i="14" s="1"/>
  <c r="E16" i="31"/>
  <c r="I15" i="31"/>
  <c r="I16" i="31"/>
  <c r="G10" i="31"/>
  <c r="E15" i="31"/>
  <c r="K45" i="5" l="1"/>
  <c r="B46" i="40"/>
  <c r="D209" i="34"/>
  <c r="C209" i="34"/>
  <c r="C29" i="34" s="1"/>
  <c r="B209" i="34"/>
  <c r="D202" i="34"/>
  <c r="D28" i="34" s="1"/>
  <c r="C202" i="34"/>
  <c r="B202" i="34"/>
  <c r="D194" i="34"/>
  <c r="C194" i="34"/>
  <c r="C27" i="34" s="1"/>
  <c r="B194" i="34"/>
  <c r="B27" i="34" s="1"/>
  <c r="D179" i="34"/>
  <c r="D26" i="34" s="1"/>
  <c r="C179" i="34"/>
  <c r="C26" i="34" s="1"/>
  <c r="B179" i="34"/>
  <c r="B26" i="34" s="1"/>
  <c r="D171" i="34"/>
  <c r="C171" i="34"/>
  <c r="C25" i="34" s="1"/>
  <c r="B171" i="34"/>
  <c r="D132" i="34"/>
  <c r="D24" i="34" s="1"/>
  <c r="C132" i="34"/>
  <c r="B132" i="34"/>
  <c r="D126" i="34"/>
  <c r="C126" i="34"/>
  <c r="C23" i="34" s="1"/>
  <c r="B126" i="34"/>
  <c r="B23" i="34" s="1"/>
  <c r="D113" i="34"/>
  <c r="D22" i="34" s="1"/>
  <c r="C113" i="34"/>
  <c r="B113" i="34"/>
  <c r="B22" i="34" s="1"/>
  <c r="D95" i="34"/>
  <c r="C95" i="34"/>
  <c r="C21" i="34" s="1"/>
  <c r="B95" i="34"/>
  <c r="D85" i="34"/>
  <c r="D20" i="34" s="1"/>
  <c r="C85" i="34"/>
  <c r="B85" i="34"/>
  <c r="D67" i="34"/>
  <c r="C67" i="34"/>
  <c r="C19" i="34" s="1"/>
  <c r="B67" i="34"/>
  <c r="B19" i="34" s="1"/>
  <c r="D29" i="34"/>
  <c r="B29" i="34"/>
  <c r="C28" i="34"/>
  <c r="B28" i="34"/>
  <c r="D27" i="34"/>
  <c r="D25" i="34"/>
  <c r="B25" i="34"/>
  <c r="C24" i="34"/>
  <c r="B24" i="34"/>
  <c r="D23" i="34"/>
  <c r="C22" i="34"/>
  <c r="B21" i="34"/>
  <c r="C20" i="34"/>
  <c r="B20" i="34"/>
  <c r="D19" i="34"/>
  <c r="D15" i="34"/>
  <c r="C15" i="34"/>
  <c r="C388" i="44"/>
  <c r="C91" i="44" s="1"/>
  <c r="C381" i="44"/>
  <c r="C383" i="44" s="1"/>
  <c r="C389" i="44" s="1"/>
  <c r="C372" i="44"/>
  <c r="C363" i="44"/>
  <c r="C365" i="44" s="1"/>
  <c r="C373" i="44" s="1"/>
  <c r="C353" i="44"/>
  <c r="C343" i="44"/>
  <c r="C345" i="44" s="1"/>
  <c r="C331" i="44"/>
  <c r="C325" i="44"/>
  <c r="C327" i="44" s="1"/>
  <c r="C332" i="44" s="1"/>
  <c r="C305" i="44"/>
  <c r="C302" i="44"/>
  <c r="C297" i="44"/>
  <c r="C299" i="44" s="1"/>
  <c r="C286" i="44"/>
  <c r="C281" i="44"/>
  <c r="C278" i="44"/>
  <c r="C280" i="44" s="1"/>
  <c r="C269" i="44"/>
  <c r="C258" i="44"/>
  <c r="C260" i="44" s="1"/>
  <c r="C244" i="44"/>
  <c r="C79" i="44" s="1"/>
  <c r="C239" i="44"/>
  <c r="C245" i="44" s="1"/>
  <c r="C237" i="44"/>
  <c r="C229" i="44"/>
  <c r="C230" i="44" s="1"/>
  <c r="C76" i="44" s="1"/>
  <c r="C222" i="44"/>
  <c r="C215" i="44"/>
  <c r="C216" i="44" s="1"/>
  <c r="C208" i="44"/>
  <c r="C200" i="44"/>
  <c r="C201" i="44" s="1"/>
  <c r="C202" i="44" s="1"/>
  <c r="C209" i="44" s="1"/>
  <c r="C190" i="44"/>
  <c r="C73" i="44" s="1"/>
  <c r="C183" i="44"/>
  <c r="C175" i="44"/>
  <c r="C166" i="44"/>
  <c r="C168" i="44" s="1"/>
  <c r="C154" i="44"/>
  <c r="C148" i="44"/>
  <c r="C149" i="44" s="1"/>
  <c r="C150" i="44" s="1"/>
  <c r="C151" i="44" s="1"/>
  <c r="C144" i="44"/>
  <c r="C134" i="44"/>
  <c r="C128" i="44"/>
  <c r="C120" i="44"/>
  <c r="C108" i="44"/>
  <c r="C67" i="44" s="1"/>
  <c r="C101" i="44"/>
  <c r="C100" i="44"/>
  <c r="C88" i="44"/>
  <c r="C60" i="44"/>
  <c r="C61" i="44" s="1"/>
  <c r="C57" i="44"/>
  <c r="C56" i="44"/>
  <c r="C58" i="44" s="1"/>
  <c r="C53" i="44"/>
  <c r="C52" i="44"/>
  <c r="C49" i="44"/>
  <c r="C48" i="44"/>
  <c r="C45" i="44"/>
  <c r="C46" i="44" s="1"/>
  <c r="C42" i="44"/>
  <c r="C43" i="44" s="1"/>
  <c r="C39" i="44"/>
  <c r="C38" i="44"/>
  <c r="C37" i="44"/>
  <c r="C33" i="44"/>
  <c r="C153" i="44" s="1"/>
  <c r="C32" i="44"/>
  <c r="C31" i="44"/>
  <c r="C30" i="44"/>
  <c r="C114" i="44" s="1"/>
  <c r="C115" i="44" s="1"/>
  <c r="C27" i="44"/>
  <c r="C28" i="44" s="1"/>
  <c r="C9" i="44"/>
  <c r="C24" i="44" s="1"/>
  <c r="C50" i="44" l="1"/>
  <c r="C81" i="44"/>
  <c r="C54" i="44"/>
  <c r="D30" i="34"/>
  <c r="D31" i="34" s="1"/>
  <c r="C87" i="44"/>
  <c r="C30" i="34"/>
  <c r="C31" i="34" s="1"/>
  <c r="C176" i="44"/>
  <c r="C184" i="44"/>
  <c r="C185" i="44" s="1"/>
  <c r="C191" i="44" s="1"/>
  <c r="C40" i="44"/>
  <c r="C159" i="44"/>
  <c r="C160" i="44" s="1"/>
  <c r="C102" i="44"/>
  <c r="C66" i="44" s="1"/>
  <c r="C287" i="44"/>
  <c r="C82" i="44" s="1"/>
  <c r="C319" i="44"/>
  <c r="C85" i="44" s="1"/>
  <c r="B30" i="34"/>
  <c r="C84" i="44"/>
  <c r="C288" i="44"/>
  <c r="C109" i="44"/>
  <c r="C78" i="44"/>
  <c r="C90" i="44"/>
  <c r="C121" i="44"/>
  <c r="C122" i="44" s="1"/>
  <c r="C135" i="44"/>
  <c r="C136" i="44" s="1"/>
  <c r="C145" i="44" s="1"/>
  <c r="C217" i="44"/>
  <c r="C223" i="44" s="1"/>
  <c r="C270" i="44"/>
  <c r="C354" i="44"/>
  <c r="C34" i="44"/>
  <c r="C35" i="44" s="1"/>
  <c r="G39" i="6"/>
  <c r="G49" i="16"/>
  <c r="G45" i="16"/>
  <c r="M27" i="35"/>
  <c r="M26" i="35"/>
  <c r="C70" i="44" l="1"/>
  <c r="C63" i="44"/>
  <c r="C320" i="44"/>
  <c r="C69" i="44"/>
  <c r="C129" i="44"/>
  <c r="C72" i="44"/>
  <c r="G13" i="13"/>
  <c r="G13" i="12"/>
  <c r="G17" i="13"/>
  <c r="G14" i="22"/>
  <c r="G16" i="28"/>
  <c r="G13" i="24"/>
  <c r="G13" i="27"/>
  <c r="G16" i="17"/>
  <c r="G13" i="16"/>
  <c r="G21" i="16" s="1"/>
  <c r="G13" i="14"/>
  <c r="F13" i="10"/>
  <c r="L25" i="5"/>
  <c r="D19" i="5"/>
  <c r="K19" i="5" s="1"/>
  <c r="L11" i="5"/>
  <c r="L39" i="5"/>
  <c r="L50" i="5" s="1"/>
  <c r="L29" i="5"/>
  <c r="L23" i="5"/>
  <c r="L14" i="5"/>
  <c r="L13" i="5"/>
  <c r="L12" i="5"/>
  <c r="M14" i="35"/>
  <c r="M6" i="35"/>
  <c r="M18" i="35"/>
  <c r="M17" i="35"/>
  <c r="M32" i="35"/>
  <c r="M8" i="35"/>
  <c r="M30" i="35"/>
  <c r="M16" i="35"/>
  <c r="M24" i="35" s="1"/>
  <c r="M12" i="35"/>
  <c r="F19" i="28"/>
  <c r="M28" i="35"/>
  <c r="N24" i="35"/>
  <c r="G18" i="45"/>
  <c r="C23" i="45"/>
  <c r="G21" i="45"/>
  <c r="G27" i="45" s="1"/>
  <c r="G15" i="45"/>
  <c r="G13" i="23"/>
  <c r="G46" i="14"/>
  <c r="G90" i="6"/>
  <c r="G79" i="6"/>
  <c r="C391" i="44" l="1"/>
  <c r="M36" i="35"/>
  <c r="K6" i="5" s="1"/>
  <c r="L15" i="5"/>
  <c r="L32" i="5" s="1"/>
  <c r="C93" i="44"/>
  <c r="C94" i="44" s="1"/>
  <c r="D13" i="3" s="1"/>
  <c r="K50" i="5"/>
  <c r="G29" i="45"/>
  <c r="G27" i="29"/>
  <c r="G19" i="29"/>
  <c r="G29" i="20" l="1"/>
  <c r="G15" i="13" l="1"/>
  <c r="G86" i="6"/>
  <c r="L19" i="35" l="1"/>
  <c r="K8" i="35"/>
  <c r="K14" i="35"/>
  <c r="K27" i="35"/>
  <c r="K26" i="35"/>
  <c r="K6" i="35"/>
  <c r="K18" i="35"/>
  <c r="K17" i="35"/>
  <c r="K30" i="35"/>
  <c r="K32" i="35"/>
  <c r="K16" i="35"/>
  <c r="K12" i="35"/>
  <c r="H23" i="37" l="1"/>
  <c r="F40" i="42" l="1"/>
  <c r="F38" i="42"/>
  <c r="G83" i="39"/>
  <c r="G46" i="39"/>
  <c r="G47" i="39"/>
  <c r="G45" i="39"/>
  <c r="G44" i="39"/>
  <c r="G43" i="39"/>
  <c r="G38" i="39"/>
  <c r="G37" i="39"/>
  <c r="G10" i="39"/>
  <c r="G11" i="39"/>
  <c r="G12" i="39"/>
  <c r="G13" i="39"/>
  <c r="G14" i="39"/>
  <c r="G15" i="39"/>
  <c r="G16" i="39"/>
  <c r="G17" i="39"/>
  <c r="G18" i="39"/>
  <c r="G19" i="39"/>
  <c r="G20" i="39"/>
  <c r="G21" i="39"/>
  <c r="G22" i="39"/>
  <c r="G23" i="39"/>
  <c r="G24" i="39"/>
  <c r="G25" i="39"/>
  <c r="G26" i="39"/>
  <c r="G27" i="39"/>
  <c r="G28" i="39"/>
  <c r="G29" i="39"/>
  <c r="G30" i="39"/>
  <c r="G31" i="39"/>
  <c r="G32" i="39"/>
  <c r="G33" i="39"/>
  <c r="G34" i="39"/>
  <c r="G35" i="39"/>
  <c r="G36" i="39"/>
  <c r="G9" i="39"/>
  <c r="D9" i="38"/>
  <c r="G86" i="39" l="1"/>
  <c r="D29" i="5"/>
  <c r="K29" i="5" s="1"/>
  <c r="D21" i="5"/>
  <c r="D17" i="5"/>
  <c r="K17" i="5" s="1"/>
  <c r="G13" i="22" s="1"/>
  <c r="K28" i="35"/>
  <c r="K24" i="35"/>
  <c r="G26" i="37"/>
  <c r="G29" i="37"/>
  <c r="G27" i="37"/>
  <c r="G24" i="37"/>
  <c r="G19" i="37"/>
  <c r="G17" i="37"/>
  <c r="G16" i="37"/>
  <c r="G13" i="37"/>
  <c r="G31" i="36"/>
  <c r="G10" i="36"/>
  <c r="G19" i="36" s="1"/>
  <c r="E31" i="37"/>
  <c r="E30" i="37"/>
  <c r="E29" i="37"/>
  <c r="E28" i="37"/>
  <c r="E27" i="37"/>
  <c r="E26" i="37"/>
  <c r="E25" i="37"/>
  <c r="E24" i="37"/>
  <c r="E23" i="37"/>
  <c r="E21" i="37"/>
  <c r="E20" i="37"/>
  <c r="E19" i="37"/>
  <c r="E17" i="37"/>
  <c r="E16" i="37"/>
  <c r="D33" i="37"/>
  <c r="C33" i="37"/>
  <c r="E11" i="37"/>
  <c r="E10" i="37"/>
  <c r="D13" i="37"/>
  <c r="D35" i="37" s="1"/>
  <c r="C13" i="37"/>
  <c r="C35" i="37" s="1"/>
  <c r="F31" i="36"/>
  <c r="D31" i="36"/>
  <c r="E29" i="36"/>
  <c r="E28" i="36"/>
  <c r="E27" i="36"/>
  <c r="E26" i="36"/>
  <c r="E25" i="36"/>
  <c r="E24" i="36"/>
  <c r="E23" i="36"/>
  <c r="E22" i="36"/>
  <c r="C31" i="36"/>
  <c r="E17" i="36"/>
  <c r="E16" i="36"/>
  <c r="E15" i="36"/>
  <c r="E14" i="36"/>
  <c r="E13" i="36"/>
  <c r="E12" i="36"/>
  <c r="E11" i="36"/>
  <c r="E10" i="36"/>
  <c r="C19" i="36"/>
  <c r="D19" i="36"/>
  <c r="D33" i="36" s="1"/>
  <c r="F19" i="36"/>
  <c r="C27" i="5"/>
  <c r="D27" i="5" s="1"/>
  <c r="K27" i="5" s="1"/>
  <c r="B7" i="40" s="1"/>
  <c r="B14" i="40" s="1"/>
  <c r="B47" i="40" s="1"/>
  <c r="D19" i="3" s="1"/>
  <c r="C10" i="5"/>
  <c r="D10" i="5" s="1"/>
  <c r="K10" i="5" s="1"/>
  <c r="E39" i="5"/>
  <c r="E29" i="5"/>
  <c r="E25" i="5"/>
  <c r="E14" i="5"/>
  <c r="E23" i="5"/>
  <c r="E13" i="5"/>
  <c r="E12" i="5"/>
  <c r="E11" i="5"/>
  <c r="I39" i="35"/>
  <c r="F36" i="35"/>
  <c r="J34" i="35"/>
  <c r="I32" i="35"/>
  <c r="I30" i="35"/>
  <c r="J28" i="35"/>
  <c r="I27" i="35"/>
  <c r="I26" i="35"/>
  <c r="J22" i="35"/>
  <c r="J21" i="35"/>
  <c r="J20" i="35"/>
  <c r="J19" i="35"/>
  <c r="I18" i="35"/>
  <c r="I17" i="35"/>
  <c r="I16" i="35"/>
  <c r="I24" i="35" s="1"/>
  <c r="I14" i="35"/>
  <c r="J12" i="35"/>
  <c r="I12" i="35"/>
  <c r="L10" i="35"/>
  <c r="N10" i="35" s="1"/>
  <c r="N36" i="35" s="1"/>
  <c r="I8" i="35"/>
  <c r="I6" i="35"/>
  <c r="G33" i="37" l="1"/>
  <c r="G35" i="37" s="1"/>
  <c r="I28" i="35"/>
  <c r="C33" i="36"/>
  <c r="B2" i="34"/>
  <c r="B15" i="34" s="1"/>
  <c r="B31" i="34" s="1"/>
  <c r="D15" i="3" s="1"/>
  <c r="K15" i="5"/>
  <c r="D15" i="5"/>
  <c r="L6" i="5"/>
  <c r="M38" i="35"/>
  <c r="M40" i="35" s="1"/>
  <c r="E19" i="36"/>
  <c r="F33" i="36"/>
  <c r="E31" i="36"/>
  <c r="E13" i="37"/>
  <c r="E35" i="37" s="1"/>
  <c r="E33" i="37"/>
  <c r="G7" i="39"/>
  <c r="G40" i="39" s="1"/>
  <c r="G88" i="39" s="1"/>
  <c r="D17" i="3" s="1"/>
  <c r="K21" i="5"/>
  <c r="D32" i="5"/>
  <c r="E15" i="5"/>
  <c r="E32" i="5" s="1"/>
  <c r="F3" i="42"/>
  <c r="F42" i="42" s="1"/>
  <c r="D21" i="3" s="1"/>
  <c r="K36" i="35"/>
  <c r="D6" i="5" s="1"/>
  <c r="G33" i="36"/>
  <c r="D27" i="3" s="1"/>
  <c r="D11" i="38"/>
  <c r="D23" i="38" s="1"/>
  <c r="D25" i="3" s="1"/>
  <c r="E50" i="5"/>
  <c r="I36" i="35"/>
  <c r="C6" i="5" s="1"/>
  <c r="L24" i="35"/>
  <c r="L36" i="35" s="1"/>
  <c r="J24" i="35"/>
  <c r="J36" i="35" s="1"/>
  <c r="L53" i="5" l="1"/>
  <c r="L34" i="5"/>
  <c r="E33" i="36"/>
  <c r="K32" i="5"/>
  <c r="K34" i="5" s="1"/>
  <c r="K53" i="5" s="1"/>
  <c r="G12" i="6" s="1"/>
  <c r="D34" i="5"/>
  <c r="E6" i="5"/>
  <c r="E34" i="5"/>
  <c r="E53" i="5" s="1"/>
  <c r="K38" i="35"/>
  <c r="I38" i="35"/>
  <c r="I40" i="35" s="1"/>
  <c r="K40" i="35" l="1"/>
  <c r="B58" i="31"/>
  <c r="B59" i="31"/>
  <c r="B60" i="31"/>
  <c r="B57" i="31"/>
  <c r="C13" i="31"/>
  <c r="B42" i="31"/>
  <c r="B43" i="31" s="1"/>
  <c r="C12" i="31"/>
  <c r="A57" i="31" l="1"/>
  <c r="A42" i="31"/>
  <c r="C42" i="31" s="1"/>
  <c r="C57" i="31"/>
  <c r="B44" i="31"/>
  <c r="G52" i="16"/>
  <c r="G50" i="16"/>
  <c r="G44" i="16"/>
  <c r="G43" i="16"/>
  <c r="G40" i="16"/>
  <c r="G39" i="16"/>
  <c r="G32" i="16"/>
  <c r="G31" i="16"/>
  <c r="G30" i="16"/>
  <c r="G29" i="16"/>
  <c r="G28" i="16"/>
  <c r="G47" i="16"/>
  <c r="G48" i="16" s="1"/>
  <c r="D42" i="31" l="1"/>
  <c r="D57" i="31"/>
  <c r="B45" i="31"/>
  <c r="G28" i="21"/>
  <c r="G20" i="21"/>
  <c r="G21" i="21"/>
  <c r="G23" i="21"/>
  <c r="G43" i="20"/>
  <c r="G15" i="12"/>
  <c r="D27" i="31"/>
  <c r="D45" i="5"/>
  <c r="D50" i="5" s="1"/>
  <c r="D53" i="5" s="1"/>
  <c r="G29" i="29"/>
  <c r="G23" i="29"/>
  <c r="A27" i="31"/>
  <c r="B21" i="31"/>
  <c r="H9" i="31"/>
  <c r="B23" i="31"/>
  <c r="B22" i="31"/>
  <c r="B20" i="31"/>
  <c r="G31" i="21" l="1"/>
  <c r="E42" i="31"/>
  <c r="E57" i="31"/>
  <c r="A58" i="31" s="1"/>
  <c r="I13" i="31" s="1"/>
  <c r="B46" i="31"/>
  <c r="E27" i="31"/>
  <c r="A28" i="31" s="1"/>
  <c r="C27" i="31"/>
  <c r="G54" i="16"/>
  <c r="G31" i="6"/>
  <c r="G14" i="6"/>
  <c r="G15" i="26"/>
  <c r="G36" i="22"/>
  <c r="G37" i="12"/>
  <c r="G39" i="12" s="1"/>
  <c r="E22" i="2" s="1"/>
  <c r="G13" i="9"/>
  <c r="G24" i="7"/>
  <c r="G23" i="7"/>
  <c r="G22" i="7"/>
  <c r="G21" i="7"/>
  <c r="G20" i="7"/>
  <c r="G13" i="7"/>
  <c r="G14" i="7"/>
  <c r="G28" i="29"/>
  <c r="G24" i="29"/>
  <c r="G22" i="29"/>
  <c r="G21" i="29"/>
  <c r="G20" i="29"/>
  <c r="G14" i="29"/>
  <c r="G13" i="29"/>
  <c r="G35" i="28"/>
  <c r="G33" i="28"/>
  <c r="G28" i="28"/>
  <c r="G24" i="28"/>
  <c r="G19" i="28"/>
  <c r="G21" i="27"/>
  <c r="G19" i="27"/>
  <c r="G16" i="27"/>
  <c r="G21" i="26"/>
  <c r="G19" i="26"/>
  <c r="G37" i="24"/>
  <c r="G36" i="24"/>
  <c r="G35" i="24"/>
  <c r="G34" i="24"/>
  <c r="G28" i="24"/>
  <c r="G27" i="24"/>
  <c r="G26" i="24"/>
  <c r="G25" i="24"/>
  <c r="G24" i="24"/>
  <c r="C45" i="5"/>
  <c r="G42" i="15"/>
  <c r="G47" i="15"/>
  <c r="G14" i="24" s="1"/>
  <c r="G15" i="24"/>
  <c r="C23" i="24"/>
  <c r="C23" i="27"/>
  <c r="C23" i="28"/>
  <c r="G23" i="28" s="1"/>
  <c r="C23" i="29"/>
  <c r="G42" i="23"/>
  <c r="G41" i="23"/>
  <c r="G40" i="23"/>
  <c r="G39" i="23"/>
  <c r="G25" i="6" s="1"/>
  <c r="G37" i="23"/>
  <c r="G34" i="23"/>
  <c r="G32" i="23"/>
  <c r="G31" i="23"/>
  <c r="G23" i="23"/>
  <c r="G22" i="23"/>
  <c r="G21" i="23"/>
  <c r="G20" i="23"/>
  <c r="G16" i="23"/>
  <c r="G21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0" i="22"/>
  <c r="G13" i="21"/>
  <c r="G16" i="21" s="1"/>
  <c r="G33" i="21" s="1"/>
  <c r="E38" i="2" s="1"/>
  <c r="G28" i="20"/>
  <c r="G42" i="20"/>
  <c r="G35" i="20"/>
  <c r="G18" i="6" s="1"/>
  <c r="G34" i="20"/>
  <c r="G27" i="20"/>
  <c r="G26" i="20"/>
  <c r="G25" i="20"/>
  <c r="G23" i="6" s="1"/>
  <c r="G23" i="20"/>
  <c r="G22" i="20"/>
  <c r="G21" i="20"/>
  <c r="G16" i="20"/>
  <c r="C23" i="17"/>
  <c r="G24" i="18"/>
  <c r="G21" i="17"/>
  <c r="G15" i="17"/>
  <c r="G18" i="17" s="1"/>
  <c r="G28" i="15"/>
  <c r="G16" i="18"/>
  <c r="G13" i="11"/>
  <c r="G44" i="15"/>
  <c r="G40" i="15"/>
  <c r="G38" i="15"/>
  <c r="G29" i="6" s="1"/>
  <c r="G35" i="15"/>
  <c r="G34" i="15"/>
  <c r="G32" i="15"/>
  <c r="G33" i="15"/>
  <c r="G29" i="15"/>
  <c r="G27" i="15"/>
  <c r="G24" i="6" s="1"/>
  <c r="G26" i="15"/>
  <c r="G42" i="13"/>
  <c r="C23" i="14"/>
  <c r="G22" i="15"/>
  <c r="G21" i="15"/>
  <c r="G20" i="15"/>
  <c r="G13" i="15"/>
  <c r="G16" i="15" s="1"/>
  <c r="G48" i="14"/>
  <c r="G47" i="14"/>
  <c r="G45" i="14"/>
  <c r="G44" i="14"/>
  <c r="G43" i="14"/>
  <c r="G42" i="14"/>
  <c r="G37" i="14"/>
  <c r="G36" i="14"/>
  <c r="G35" i="14"/>
  <c r="G32" i="14"/>
  <c r="G31" i="14"/>
  <c r="G29" i="14"/>
  <c r="G28" i="14"/>
  <c r="G27" i="14"/>
  <c r="G26" i="14"/>
  <c r="G25" i="13"/>
  <c r="G24" i="13"/>
  <c r="G30" i="7" l="1"/>
  <c r="G44" i="23"/>
  <c r="G23" i="26"/>
  <c r="G31" i="29"/>
  <c r="G41" i="24"/>
  <c r="G62" i="15"/>
  <c r="G64" i="15" s="1"/>
  <c r="E28" i="2" s="1"/>
  <c r="G16" i="7"/>
  <c r="G23" i="27"/>
  <c r="A43" i="31"/>
  <c r="C43" i="31" s="1"/>
  <c r="I12" i="31"/>
  <c r="G16" i="29"/>
  <c r="G25" i="27"/>
  <c r="E48" i="2" s="1"/>
  <c r="G45" i="20"/>
  <c r="G47" i="20" s="1"/>
  <c r="E36" i="2" s="1"/>
  <c r="G32" i="7"/>
  <c r="D23" i="3" s="1"/>
  <c r="D8" i="32" s="1"/>
  <c r="G18" i="24"/>
  <c r="C58" i="31"/>
  <c r="B47" i="31"/>
  <c r="C28" i="31"/>
  <c r="C50" i="5"/>
  <c r="G46" i="23"/>
  <c r="E42" i="2" s="1"/>
  <c r="G25" i="26"/>
  <c r="E46" i="2" s="1"/>
  <c r="G26" i="18"/>
  <c r="E34" i="2" s="1"/>
  <c r="G44" i="13"/>
  <c r="G33" i="29" l="1"/>
  <c r="E52" i="2" s="1"/>
  <c r="G43" i="24"/>
  <c r="E44" i="2" s="1"/>
  <c r="D43" i="31"/>
  <c r="J12" i="31"/>
  <c r="G23" i="17" s="1"/>
  <c r="G27" i="17" s="1"/>
  <c r="G29" i="17" s="1"/>
  <c r="E32" i="2" s="1"/>
  <c r="D58" i="31"/>
  <c r="J13" i="31"/>
  <c r="B48" i="31"/>
  <c r="D8" i="31"/>
  <c r="G23" i="11"/>
  <c r="G31" i="11" s="1"/>
  <c r="C23" i="11"/>
  <c r="G17" i="11"/>
  <c r="F28" i="10"/>
  <c r="F27" i="10"/>
  <c r="F23" i="10"/>
  <c r="C23" i="10"/>
  <c r="F22" i="10"/>
  <c r="F20" i="10"/>
  <c r="F18" i="10"/>
  <c r="F15" i="10"/>
  <c r="G25" i="9"/>
  <c r="G24" i="9"/>
  <c r="G23" i="9"/>
  <c r="G21" i="9"/>
  <c r="G20" i="9"/>
  <c r="G19" i="9"/>
  <c r="G18" i="9"/>
  <c r="G28" i="8"/>
  <c r="G23" i="8"/>
  <c r="C23" i="8"/>
  <c r="G27" i="8"/>
  <c r="G26" i="8"/>
  <c r="G25" i="8"/>
  <c r="G24" i="8"/>
  <c r="G22" i="8"/>
  <c r="G21" i="8"/>
  <c r="G20" i="8"/>
  <c r="G13" i="8"/>
  <c r="G16" i="8" s="1"/>
  <c r="G15" i="6"/>
  <c r="G41" i="6" s="1"/>
  <c r="G18" i="13"/>
  <c r="G92" i="6"/>
  <c r="G89" i="6"/>
  <c r="G88" i="6"/>
  <c r="G87" i="6"/>
  <c r="G85" i="6"/>
  <c r="G84" i="6"/>
  <c r="G65" i="6"/>
  <c r="G64" i="6"/>
  <c r="G63" i="6"/>
  <c r="G57" i="6"/>
  <c r="G55" i="6"/>
  <c r="G54" i="6"/>
  <c r="G53" i="6"/>
  <c r="G47" i="6"/>
  <c r="G82" i="6"/>
  <c r="G28" i="9" l="1"/>
  <c r="G38" i="28"/>
  <c r="G40" i="28" s="1"/>
  <c r="G42" i="28" s="1"/>
  <c r="E50" i="2" s="1"/>
  <c r="E43" i="31"/>
  <c r="A44" i="31" s="1"/>
  <c r="C44" i="31" s="1"/>
  <c r="D44" i="31" s="1"/>
  <c r="E44" i="31" s="1"/>
  <c r="A45" i="31" s="1"/>
  <c r="C45" i="31" s="1"/>
  <c r="D45" i="31" s="1"/>
  <c r="E45" i="31" s="1"/>
  <c r="A46" i="31" s="1"/>
  <c r="C46" i="31" s="1"/>
  <c r="D46" i="31" s="1"/>
  <c r="E46" i="31" s="1"/>
  <c r="A47" i="31" s="1"/>
  <c r="C47" i="31" s="1"/>
  <c r="D47" i="31" s="1"/>
  <c r="E47" i="31" s="1"/>
  <c r="A48" i="31" s="1"/>
  <c r="K12" i="31"/>
  <c r="E58" i="31"/>
  <c r="A59" i="31" s="1"/>
  <c r="C59" i="31" s="1"/>
  <c r="D59" i="31" s="1"/>
  <c r="E59" i="31" s="1"/>
  <c r="A60" i="31" s="1"/>
  <c r="C60" i="31" s="1"/>
  <c r="D60" i="31" s="1"/>
  <c r="K13" i="31"/>
  <c r="G30" i="9"/>
  <c r="E16" i="2" s="1"/>
  <c r="G46" i="13"/>
  <c r="E24" i="2" s="1"/>
  <c r="G23" i="22"/>
  <c r="G38" i="22" s="1"/>
  <c r="G16" i="22"/>
  <c r="B49" i="31"/>
  <c r="E8" i="31"/>
  <c r="F8" i="31" s="1"/>
  <c r="D9" i="31"/>
  <c r="E9" i="31" s="1"/>
  <c r="G83" i="6"/>
  <c r="G33" i="11"/>
  <c r="E20" i="2" s="1"/>
  <c r="F32" i="10"/>
  <c r="F34" i="10" s="1"/>
  <c r="E18" i="2" s="1"/>
  <c r="G32" i="8"/>
  <c r="G34" i="8" s="1"/>
  <c r="E14" i="2" s="1"/>
  <c r="G40" i="22" l="1"/>
  <c r="E40" i="2" s="1"/>
  <c r="C48" i="31"/>
  <c r="D48" i="31" s="1"/>
  <c r="E48" i="31"/>
  <c r="A49" i="31" s="1"/>
  <c r="B50" i="31"/>
  <c r="F9" i="31"/>
  <c r="B33" i="31"/>
  <c r="B37" i="31"/>
  <c r="B30" i="31"/>
  <c r="B34" i="31"/>
  <c r="B38" i="31"/>
  <c r="B31" i="31"/>
  <c r="B35" i="31"/>
  <c r="B28" i="31"/>
  <c r="D28" i="31" s="1"/>
  <c r="B32" i="31"/>
  <c r="B36" i="31"/>
  <c r="B29" i="31"/>
  <c r="B27" i="31"/>
  <c r="G17" i="14"/>
  <c r="F30" i="5"/>
  <c r="J6" i="5"/>
  <c r="H6" i="5"/>
  <c r="G6" i="5"/>
  <c r="F6" i="5"/>
  <c r="I6" i="5"/>
  <c r="E28" i="31" l="1"/>
  <c r="A29" i="31" s="1"/>
  <c r="C29" i="31" s="1"/>
  <c r="C49" i="31"/>
  <c r="D49" i="31" s="1"/>
  <c r="E49" i="31" s="1"/>
  <c r="A50" i="31" s="1"/>
  <c r="B51" i="31"/>
  <c r="C15" i="5"/>
  <c r="C32" i="5" s="1"/>
  <c r="C34" i="5" s="1"/>
  <c r="C53" i="5" s="1"/>
  <c r="G56" i="16" l="1"/>
  <c r="E30" i="2" s="1"/>
  <c r="C50" i="31"/>
  <c r="D50" i="31" s="1"/>
  <c r="E50" i="31" s="1"/>
  <c r="A51" i="31" s="1"/>
  <c r="B52" i="31"/>
  <c r="D29" i="31"/>
  <c r="B53" i="31" l="1"/>
  <c r="E29" i="31"/>
  <c r="A30" i="31" s="1"/>
  <c r="C30" i="31" s="1"/>
  <c r="C51" i="31"/>
  <c r="D51" i="31" s="1"/>
  <c r="E51" i="31"/>
  <c r="A52" i="31" s="1"/>
  <c r="C52" i="31" l="1"/>
  <c r="D52" i="31" s="1"/>
  <c r="E52" i="31" s="1"/>
  <c r="A53" i="31" s="1"/>
  <c r="C53" i="31" s="1"/>
  <c r="D53" i="31" s="1"/>
  <c r="D30" i="31"/>
  <c r="E30" i="31" l="1"/>
  <c r="A31" i="31" s="1"/>
  <c r="C31" i="31" s="1"/>
  <c r="D31" i="31" s="1"/>
  <c r="E31" i="31" s="1"/>
  <c r="A32" i="31" s="1"/>
  <c r="C32" i="31" l="1"/>
  <c r="D32" i="31" s="1"/>
  <c r="E32" i="31" s="1"/>
  <c r="A33" i="31" s="1"/>
  <c r="C33" i="31" l="1"/>
  <c r="D33" i="31" s="1"/>
  <c r="E33" i="31" s="1"/>
  <c r="A34" i="31" s="1"/>
  <c r="C34" i="31" l="1"/>
  <c r="D34" i="31" s="1"/>
  <c r="E34" i="31" s="1"/>
  <c r="A35" i="31" s="1"/>
  <c r="C35" i="31" l="1"/>
  <c r="D35" i="31" s="1"/>
  <c r="E35" i="31" s="1"/>
  <c r="A36" i="31" s="1"/>
  <c r="C36" i="31" l="1"/>
  <c r="D36" i="31" s="1"/>
  <c r="E36" i="31" s="1"/>
  <c r="A37" i="31" s="1"/>
  <c r="C37" i="31" l="1"/>
  <c r="D37" i="31" s="1"/>
  <c r="E37" i="31" s="1"/>
  <c r="A38" i="31" s="1"/>
  <c r="C38" i="31" l="1"/>
  <c r="D38" i="31" l="1"/>
  <c r="J9" i="31"/>
  <c r="E38" i="31" l="1"/>
  <c r="D39" i="31"/>
  <c r="A20" i="31"/>
  <c r="C20" i="31" s="1"/>
  <c r="D20" i="31" l="1"/>
  <c r="E20" i="31" s="1"/>
  <c r="A21" i="31" s="1"/>
  <c r="C21" i="31" l="1"/>
  <c r="D21" i="31" l="1"/>
  <c r="E21" i="31" l="1"/>
  <c r="A22" i="31" s="1"/>
  <c r="C22" i="31" l="1"/>
  <c r="D22" i="31" l="1"/>
  <c r="E22" i="31" l="1"/>
  <c r="A23" i="31" s="1"/>
  <c r="C23" i="31" l="1"/>
  <c r="J8" i="31" s="1"/>
  <c r="G53" i="14" l="1"/>
  <c r="G62" i="6"/>
  <c r="G117" i="6" s="1"/>
  <c r="G119" i="6" s="1"/>
  <c r="E12" i="2" s="1"/>
  <c r="D23" i="31"/>
  <c r="K8" i="31" s="1"/>
  <c r="D10" i="32" s="1"/>
  <c r="G56" i="14"/>
  <c r="G58" i="14" s="1"/>
  <c r="E26" i="2" s="1"/>
  <c r="E55" i="2" l="1"/>
  <c r="D9" i="3" s="1"/>
  <c r="D29" i="3" s="1"/>
  <c r="D32" i="3" s="1"/>
  <c r="D36" i="3" s="1"/>
  <c r="D24" i="31"/>
  <c r="E23" i="31"/>
  <c r="D6" i="32" l="1"/>
  <c r="D16" i="32" s="1"/>
  <c r="D18" i="32" s="1"/>
  <c r="D22" i="32" s="1"/>
  <c r="D24" i="32" s="1"/>
</calcChain>
</file>

<file path=xl/sharedStrings.xml><?xml version="1.0" encoding="utf-8"?>
<sst xmlns="http://schemas.openxmlformats.org/spreadsheetml/2006/main" count="2966" uniqueCount="1881">
  <si>
    <t>SUMMARY OF BUDGETED SURPLUS / DEFICIT</t>
  </si>
  <si>
    <t>BUDGET</t>
  </si>
  <si>
    <t>ADMINISTRATION</t>
  </si>
  <si>
    <t>DEPT.1 BAND ADMINISTRATION</t>
  </si>
  <si>
    <t>DEPT. 4 DAYCARE / INFANT CARE</t>
  </si>
  <si>
    <t>DEPT. 6 FLOOD PREPAREDNESS</t>
  </si>
  <si>
    <t>DEPT. 13 VLT'S</t>
  </si>
  <si>
    <t>DEPT. 16 HOUSING AUTHORITY</t>
  </si>
  <si>
    <t>DEPT. 22 HRDC</t>
  </si>
  <si>
    <t>DEPT. 24 TRAINING &amp; EMPLOYMENT</t>
  </si>
  <si>
    <t>DEPT. 36 WELLNESS CENTER</t>
  </si>
  <si>
    <t>DEPT. 58 FITNESS CENTER</t>
  </si>
  <si>
    <t>NET ADMINISTRATION</t>
  </si>
  <si>
    <t>OTHER PROGRAMS:</t>
  </si>
  <si>
    <t>HEALTH</t>
  </si>
  <si>
    <t>EDUCATION</t>
  </si>
  <si>
    <t>CMHC HOUSING AUTHORITY</t>
  </si>
  <si>
    <t>FIRST NATION HEALING CENTER</t>
  </si>
  <si>
    <t>SPORTS AND RECREATION</t>
  </si>
  <si>
    <t>SURPLUS/DEFICIT</t>
  </si>
  <si>
    <t>POST OFFICE</t>
  </si>
  <si>
    <t>BLOCK</t>
  </si>
  <si>
    <t>TARGET</t>
  </si>
  <si>
    <t>Social Services</t>
  </si>
  <si>
    <t>Special Education</t>
  </si>
  <si>
    <t>Skills Link</t>
  </si>
  <si>
    <t>New Paths</t>
  </si>
  <si>
    <t>TOTAL EDUCATION</t>
  </si>
  <si>
    <t>Agreed to INAC initial amendment</t>
  </si>
  <si>
    <t>ALLOCATIONS:</t>
  </si>
  <si>
    <t>TRANSFER</t>
  </si>
  <si>
    <t>AMOUNT</t>
  </si>
  <si>
    <t>MONTHS</t>
  </si>
  <si>
    <t xml:space="preserve"> </t>
  </si>
  <si>
    <t>SOCIAL SERVICES</t>
  </si>
  <si>
    <t>HEALTH - HOMEMAKERS</t>
  </si>
  <si>
    <t>HOUSING AUTHORITY (TO ADMIN)</t>
  </si>
  <si>
    <t>HEALING CENTER</t>
  </si>
  <si>
    <t>PERSONAL CARE HOME</t>
  </si>
  <si>
    <t>ECONOMIC DEVELOPMENT</t>
  </si>
  <si>
    <t>TOTAL ALLOCATIONS:</t>
  </si>
  <si>
    <t>Available to Administration</t>
  </si>
  <si>
    <t>Flood - Dept 6</t>
  </si>
  <si>
    <t>Administration allocations</t>
  </si>
  <si>
    <t>2016/2017</t>
  </si>
  <si>
    <t>TOTAL INAC CONTRIBUTION</t>
  </si>
  <si>
    <t>Post Secondary</t>
  </si>
  <si>
    <t>Enhanced Teacher Salaries</t>
  </si>
  <si>
    <t>Fire Department - Dept 10</t>
  </si>
  <si>
    <t>Facilities O&amp;M - Dept 11</t>
  </si>
  <si>
    <t>Community Services - Dept 12</t>
  </si>
  <si>
    <t>Band Housing Repairs - Dept 16</t>
  </si>
  <si>
    <t>4 Duplex Project - Dept 18</t>
  </si>
  <si>
    <t>Band Administration</t>
  </si>
  <si>
    <t>3/31/2016</t>
  </si>
  <si>
    <t>YTD</t>
  </si>
  <si>
    <t>Annual</t>
  </si>
  <si>
    <t>Budget</t>
  </si>
  <si>
    <t>Actual</t>
  </si>
  <si>
    <t>Variance</t>
  </si>
  <si>
    <t>Revenue:</t>
  </si>
  <si>
    <t xml:space="preserve">   Revenue - Band Management</t>
  </si>
  <si>
    <t>4000-01</t>
  </si>
  <si>
    <t xml:space="preserve">   Revenue - Admin fees - H/A</t>
  </si>
  <si>
    <t>4004-01</t>
  </si>
  <si>
    <t xml:space="preserve">   Revenue - Admin fees - H.R.D.C</t>
  </si>
  <si>
    <t>4005-01</t>
  </si>
  <si>
    <t xml:space="preserve">   Revenue - Admin fees - V.L.T's</t>
  </si>
  <si>
    <t>4006-01</t>
  </si>
  <si>
    <t xml:space="preserve">   Revenue - Interest Earned</t>
  </si>
  <si>
    <t>4007-01</t>
  </si>
  <si>
    <t xml:space="preserve">   Revenue - Healing Center Admin fee</t>
  </si>
  <si>
    <t>4013-01</t>
  </si>
  <si>
    <t xml:space="preserve">   Revenue - Insurance H.R.D.C.</t>
  </si>
  <si>
    <t>4014-01</t>
  </si>
  <si>
    <t>4015-01</t>
  </si>
  <si>
    <t xml:space="preserve">   Revenue - G.S.T Rebate</t>
  </si>
  <si>
    <t>4016-01</t>
  </si>
  <si>
    <t xml:space="preserve">   REVENUE- store rebates</t>
  </si>
  <si>
    <t>4018-01</t>
  </si>
  <si>
    <t xml:space="preserve">   Revenue - AANDC - Housing</t>
  </si>
  <si>
    <t>4019-01</t>
  </si>
  <si>
    <t xml:space="preserve">   Revenue - Rent - H.R.D.C.</t>
  </si>
  <si>
    <t>4020-01</t>
  </si>
  <si>
    <t xml:space="preserve">   Revenue - Rent - V.L.T.'s</t>
  </si>
  <si>
    <t>4021-01</t>
  </si>
  <si>
    <t xml:space="preserve">   Revenue - Rent - Headstart</t>
  </si>
  <si>
    <t>4023-01</t>
  </si>
  <si>
    <t xml:space="preserve">   Revenue - PCH Accounting Fees</t>
  </si>
  <si>
    <t>4024-01</t>
  </si>
  <si>
    <t xml:space="preserve">   Revenue - Tax Sharing Grant</t>
  </si>
  <si>
    <t>4025-01</t>
  </si>
  <si>
    <t xml:space="preserve">   Revenue - Misc</t>
  </si>
  <si>
    <t>4035-01</t>
  </si>
  <si>
    <t xml:space="preserve">   Revenue - Insurance - V.L.T's</t>
  </si>
  <si>
    <t>4036-01</t>
  </si>
  <si>
    <t>4063-01</t>
  </si>
  <si>
    <t xml:space="preserve">   Revenue - Summer Employment - Prog</t>
  </si>
  <si>
    <t>4066-01</t>
  </si>
  <si>
    <t xml:space="preserve">   Revenue - 140th Celebration</t>
  </si>
  <si>
    <t>4069-01</t>
  </si>
  <si>
    <t xml:space="preserve">   Revenue - Admin Fee - Health</t>
  </si>
  <si>
    <t>4075-01</t>
  </si>
  <si>
    <t xml:space="preserve">   Admin fee - Ec Dev</t>
  </si>
  <si>
    <t>4077-01</t>
  </si>
  <si>
    <t xml:space="preserve">   Revenue - other</t>
  </si>
  <si>
    <t>4078-01</t>
  </si>
  <si>
    <t xml:space="preserve">   Revenue - Festivities Donations</t>
  </si>
  <si>
    <t>4110-01</t>
  </si>
  <si>
    <t xml:space="preserve">   Heritage Canada/Museum Grant</t>
  </si>
  <si>
    <t>4115-01</t>
  </si>
  <si>
    <t xml:space="preserve">   Casino Trust Funds</t>
  </si>
  <si>
    <t>4125-01</t>
  </si>
  <si>
    <t xml:space="preserve">   Revenue - ATM Community Hall</t>
  </si>
  <si>
    <t>4200-01</t>
  </si>
  <si>
    <t xml:space="preserve">  Total Revenue</t>
  </si>
  <si>
    <t>Expenses:</t>
  </si>
  <si>
    <t xml:space="preserve">   Salary - Chief</t>
  </si>
  <si>
    <t>5000-01</t>
  </si>
  <si>
    <t xml:space="preserve">   Salaries - Councillors</t>
  </si>
  <si>
    <t>5001-01</t>
  </si>
  <si>
    <t xml:space="preserve">   Salary - C.F.O.</t>
  </si>
  <si>
    <t>5002-01</t>
  </si>
  <si>
    <t xml:space="preserve">   Sub - Receptionist</t>
  </si>
  <si>
    <t>5003-01</t>
  </si>
  <si>
    <t xml:space="preserve">   Salaries - Finance Manager</t>
  </si>
  <si>
    <t>5004-01</t>
  </si>
  <si>
    <t xml:space="preserve">   Salaries - Finance Clerk</t>
  </si>
  <si>
    <t>5005-01</t>
  </si>
  <si>
    <t xml:space="preserve">   Salary - Janitor</t>
  </si>
  <si>
    <t>5007-01</t>
  </si>
  <si>
    <t xml:space="preserve">   Salary - Secretary</t>
  </si>
  <si>
    <t>5008-01</t>
  </si>
  <si>
    <t xml:space="preserve">   Salary - Executive asst.</t>
  </si>
  <si>
    <t>5009-01</t>
  </si>
  <si>
    <t xml:space="preserve">   Honorarium-Elders</t>
  </si>
  <si>
    <t>5010-01</t>
  </si>
  <si>
    <t xml:space="preserve">   Sub - Janitor</t>
  </si>
  <si>
    <t>5013-01</t>
  </si>
  <si>
    <t>5014-01</t>
  </si>
  <si>
    <t xml:space="preserve">   Contribution to Annual Golf Tournament</t>
  </si>
  <si>
    <t>5024-01</t>
  </si>
  <si>
    <t xml:space="preserve">   Salary - CEO</t>
  </si>
  <si>
    <t>5029-01</t>
  </si>
  <si>
    <t xml:space="preserve">   Summer employment</t>
  </si>
  <si>
    <t>5030-01</t>
  </si>
  <si>
    <t xml:space="preserve">   Salary - Human Resource Coordinator</t>
  </si>
  <si>
    <t>5031-01</t>
  </si>
  <si>
    <t>5044-01</t>
  </si>
  <si>
    <t xml:space="preserve">   Council Severence Pay</t>
  </si>
  <si>
    <t>5045-01</t>
  </si>
  <si>
    <t xml:space="preserve">   Bank Charges</t>
  </si>
  <si>
    <t>5060-01</t>
  </si>
  <si>
    <t xml:space="preserve">   Employer share - CPP</t>
  </si>
  <si>
    <t>5109-01</t>
  </si>
  <si>
    <t xml:space="preserve">   Employer share - E.I.</t>
  </si>
  <si>
    <t>5110-01</t>
  </si>
  <si>
    <t xml:space="preserve">   Employer share - R.P.P.</t>
  </si>
  <si>
    <t>5111-01</t>
  </si>
  <si>
    <t xml:space="preserve">   Group Insurance Employer Share</t>
  </si>
  <si>
    <t>5112-01</t>
  </si>
  <si>
    <t xml:space="preserve">   Professional Development</t>
  </si>
  <si>
    <t>5113-01</t>
  </si>
  <si>
    <t xml:space="preserve">   Professional Fees - Illegal Drug Strategy</t>
  </si>
  <si>
    <t>5114-01</t>
  </si>
  <si>
    <t xml:space="preserve">   Professional Fees</t>
  </si>
  <si>
    <t>5156-01</t>
  </si>
  <si>
    <t xml:space="preserve">   Audit</t>
  </si>
  <si>
    <t>5157-01</t>
  </si>
  <si>
    <t xml:space="preserve">   Community Crown Consultation</t>
  </si>
  <si>
    <t>5163-01</t>
  </si>
  <si>
    <t xml:space="preserve">   Elections Expense</t>
  </si>
  <si>
    <t>5180-01</t>
  </si>
  <si>
    <t xml:space="preserve">   Funeral contributions</t>
  </si>
  <si>
    <t>5200-01</t>
  </si>
  <si>
    <t xml:space="preserve">   Telephone - Band Office</t>
  </si>
  <si>
    <t>5230-01</t>
  </si>
  <si>
    <t xml:space="preserve">   Cell Phones</t>
  </si>
  <si>
    <t>5231-01</t>
  </si>
  <si>
    <t xml:space="preserve">   Photocopier</t>
  </si>
  <si>
    <t>5245-01</t>
  </si>
  <si>
    <t xml:space="preserve">   Supplies - Band office</t>
  </si>
  <si>
    <t>5320-01</t>
  </si>
  <si>
    <t xml:space="preserve">   Gifts &amp; Giveaways</t>
  </si>
  <si>
    <t>5323-01</t>
  </si>
  <si>
    <t xml:space="preserve">   Web Site Design</t>
  </si>
  <si>
    <t>5325-01</t>
  </si>
  <si>
    <t xml:space="preserve">   Computer Hardware/Software</t>
  </si>
  <si>
    <t>5326-01</t>
  </si>
  <si>
    <t xml:space="preserve">   Radio Station</t>
  </si>
  <si>
    <t>5327-01</t>
  </si>
  <si>
    <t>5371-01</t>
  </si>
  <si>
    <t>5372-01</t>
  </si>
  <si>
    <t xml:space="preserve">   Travel - Chief</t>
  </si>
  <si>
    <t>5450-01</t>
  </si>
  <si>
    <t xml:space="preserve">   Travel - Other</t>
  </si>
  <si>
    <t>5452-01</t>
  </si>
  <si>
    <t xml:space="preserve">   Travel - C.F.O</t>
  </si>
  <si>
    <t>5453-01</t>
  </si>
  <si>
    <t xml:space="preserve">   Travel - Legal</t>
  </si>
  <si>
    <t>5454-01</t>
  </si>
  <si>
    <t xml:space="preserve">   Travel - Elders</t>
  </si>
  <si>
    <t>5455-01</t>
  </si>
  <si>
    <t xml:space="preserve">   Travel - Executive Assistant</t>
  </si>
  <si>
    <t>5456-01</t>
  </si>
  <si>
    <t xml:space="preserve">   Insurance</t>
  </si>
  <si>
    <t>5465-01</t>
  </si>
  <si>
    <t xml:space="preserve">   O &amp; M Band Office</t>
  </si>
  <si>
    <t>5600-01</t>
  </si>
  <si>
    <t xml:space="preserve">   Hydro - Band Office</t>
  </si>
  <si>
    <t>5601-01</t>
  </si>
  <si>
    <t xml:space="preserve">   Projects from Tobacco Tax</t>
  </si>
  <si>
    <t>5606-01</t>
  </si>
  <si>
    <t xml:space="preserve">   TT- York Boat</t>
  </si>
  <si>
    <t>5617-01</t>
  </si>
  <si>
    <t xml:space="preserve">   Contribution to Treaty Days</t>
  </si>
  <si>
    <t>5764-01</t>
  </si>
  <si>
    <t xml:space="preserve">   Newsletter</t>
  </si>
  <si>
    <t>5770-01</t>
  </si>
  <si>
    <t>5775-01</t>
  </si>
  <si>
    <t xml:space="preserve">   Contribution to Youth activities Dept 11</t>
  </si>
  <si>
    <t>5818-01</t>
  </si>
  <si>
    <t xml:space="preserve">   Functions &amp; Events</t>
  </si>
  <si>
    <t>5900-01</t>
  </si>
  <si>
    <t xml:space="preserve">   Registration Fees</t>
  </si>
  <si>
    <t>5901-01</t>
  </si>
  <si>
    <t xml:space="preserve">   140th Anniversary Celebration</t>
  </si>
  <si>
    <t>5902-01</t>
  </si>
  <si>
    <t xml:space="preserve">   140th Anniversay Celebration</t>
  </si>
  <si>
    <t>5904-01</t>
  </si>
  <si>
    <t>5905-01</t>
  </si>
  <si>
    <t xml:space="preserve">   Suspense</t>
  </si>
  <si>
    <t>5950-01</t>
  </si>
  <si>
    <t xml:space="preserve">   McBeth Fish Camp</t>
  </si>
  <si>
    <t>6045-01</t>
  </si>
  <si>
    <t xml:space="preserve">   ATM Fees</t>
  </si>
  <si>
    <t>6200-01</t>
  </si>
  <si>
    <t xml:space="preserve">   Trailers</t>
  </si>
  <si>
    <t>6411-01</t>
  </si>
  <si>
    <t>6450-01</t>
  </si>
  <si>
    <t xml:space="preserve">   Travel - CEO</t>
  </si>
  <si>
    <t>6456-01</t>
  </si>
  <si>
    <t>6459-01</t>
  </si>
  <si>
    <t>6460-01</t>
  </si>
  <si>
    <t>6461-01</t>
  </si>
  <si>
    <t>6462-01</t>
  </si>
  <si>
    <t>6463-01</t>
  </si>
  <si>
    <t xml:space="preserve">   Capital - Trailers</t>
  </si>
  <si>
    <t>6775-01</t>
  </si>
  <si>
    <t xml:space="preserve">  Total Expenses</t>
  </si>
  <si>
    <t>Surplus / (Deficit)</t>
  </si>
  <si>
    <t>2015/2016</t>
  </si>
  <si>
    <t>Notes</t>
  </si>
  <si>
    <t>Post Office</t>
  </si>
  <si>
    <t xml:space="preserve">   Revenue - Post Office</t>
  </si>
  <si>
    <t>4000-03</t>
  </si>
  <si>
    <t xml:space="preserve">   Revenue - PO Sales</t>
  </si>
  <si>
    <t>4010-03</t>
  </si>
  <si>
    <t xml:space="preserve">   Salaries - Post Office</t>
  </si>
  <si>
    <t>5000-03</t>
  </si>
  <si>
    <t xml:space="preserve">   Bank charges</t>
  </si>
  <si>
    <t>5060-03</t>
  </si>
  <si>
    <t xml:space="preserve">   E.I. Benefits - Post Office</t>
  </si>
  <si>
    <t>5110-03</t>
  </si>
  <si>
    <t xml:space="preserve">   R.P.P. Benefits - Post Office</t>
  </si>
  <si>
    <t>5111-03</t>
  </si>
  <si>
    <t xml:space="preserve">   Group Ins Benefits - Post Offi</t>
  </si>
  <si>
    <t>5112-03</t>
  </si>
  <si>
    <t xml:space="preserve">   Canada Post Expenses</t>
  </si>
  <si>
    <t>5200-03</t>
  </si>
  <si>
    <t xml:space="preserve">   Telephone - Post Office</t>
  </si>
  <si>
    <t>5230-03</t>
  </si>
  <si>
    <t xml:space="preserve">   Supplies - Post Office</t>
  </si>
  <si>
    <t>5320-03</t>
  </si>
  <si>
    <t xml:space="preserve">   Travel - Admin</t>
  </si>
  <si>
    <t>5450-03</t>
  </si>
  <si>
    <t xml:space="preserve">   O &amp; M - Post Office</t>
  </si>
  <si>
    <t>5600-03</t>
  </si>
  <si>
    <t>Daycare</t>
  </si>
  <si>
    <t xml:space="preserve">   Revenue - Daycare fees</t>
  </si>
  <si>
    <t>4000-04</t>
  </si>
  <si>
    <t xml:space="preserve">   Revenue-CRF-Child Care</t>
  </si>
  <si>
    <t>4010-04</t>
  </si>
  <si>
    <t xml:space="preserve">   Salaries-Daycare</t>
  </si>
  <si>
    <t>5000-04</t>
  </si>
  <si>
    <t xml:space="preserve">   E.I. Benefits - Daycare</t>
  </si>
  <si>
    <t>5110-04</t>
  </si>
  <si>
    <t xml:space="preserve">   R.P.P. Benefits - Daycare</t>
  </si>
  <si>
    <t>5111-04</t>
  </si>
  <si>
    <t xml:space="preserve">   Group Ins Benefits - Daycare</t>
  </si>
  <si>
    <t>5112-04</t>
  </si>
  <si>
    <t xml:space="preserve">   Telephone - Daycare</t>
  </si>
  <si>
    <t>5230-04</t>
  </si>
  <si>
    <t xml:space="preserve">   Supplies - Daycare</t>
  </si>
  <si>
    <t>5320-04</t>
  </si>
  <si>
    <t xml:space="preserve">   Groceries - Daycare</t>
  </si>
  <si>
    <t>5321-04</t>
  </si>
  <si>
    <t xml:space="preserve">   Travel - Daycare</t>
  </si>
  <si>
    <t>5450-04</t>
  </si>
  <si>
    <t xml:space="preserve">   O &amp; M - Daycare</t>
  </si>
  <si>
    <t>5600-04</t>
  </si>
  <si>
    <t xml:space="preserve">   Hydro - Daycare</t>
  </si>
  <si>
    <t>5601-04</t>
  </si>
  <si>
    <t xml:space="preserve">   Professional Develop- Daycare</t>
  </si>
  <si>
    <t>5602-04</t>
  </si>
  <si>
    <t xml:space="preserve">   Misc. Expenses</t>
  </si>
  <si>
    <t>5950-04</t>
  </si>
  <si>
    <t>Policing</t>
  </si>
  <si>
    <t xml:space="preserve">   Revenue - Policing</t>
  </si>
  <si>
    <t>4000-05</t>
  </si>
  <si>
    <t xml:space="preserve">   Revenue - First Nation Safety Officer Program</t>
  </si>
  <si>
    <t>4005-05</t>
  </si>
  <si>
    <t xml:space="preserve">   Salaries - Policing</t>
  </si>
  <si>
    <t>5000-05</t>
  </si>
  <si>
    <t xml:space="preserve">   Security - Policing</t>
  </si>
  <si>
    <t>5001-05</t>
  </si>
  <si>
    <t xml:space="preserve">   E.I. Benefits - Policing</t>
  </si>
  <si>
    <t>5110-05</t>
  </si>
  <si>
    <t xml:space="preserve">   R.P.P. Benefits - Policing</t>
  </si>
  <si>
    <t>5111-05</t>
  </si>
  <si>
    <t xml:space="preserve">   Group Ins Benefits - Policing</t>
  </si>
  <si>
    <t>5112-05</t>
  </si>
  <si>
    <t xml:space="preserve">   Telephone - Police</t>
  </si>
  <si>
    <t>5230-05</t>
  </si>
  <si>
    <t xml:space="preserve">   Supplies - Police</t>
  </si>
  <si>
    <t>5320-05</t>
  </si>
  <si>
    <t xml:space="preserve">   Travel - Police</t>
  </si>
  <si>
    <t>5450-05</t>
  </si>
  <si>
    <t xml:space="preserve">   Insurance - police</t>
  </si>
  <si>
    <t>5465-05</t>
  </si>
  <si>
    <t xml:space="preserve">   O &amp; M - Police Car</t>
  </si>
  <si>
    <t>5602-05</t>
  </si>
  <si>
    <t xml:space="preserve">   Contingency - Police</t>
  </si>
  <si>
    <t>5900-05</t>
  </si>
  <si>
    <t>Flood preparedness</t>
  </si>
  <si>
    <t xml:space="preserve">   Revenue - Flood Prep</t>
  </si>
  <si>
    <t>4000-06</t>
  </si>
  <si>
    <t xml:space="preserve">   Salary - Flood Coordinator</t>
  </si>
  <si>
    <t>5004-06</t>
  </si>
  <si>
    <t xml:space="preserve">   E.I. Benefits</t>
  </si>
  <si>
    <t>5110-06</t>
  </si>
  <si>
    <t xml:space="preserve">   Travel - Flood</t>
  </si>
  <si>
    <t>5450-06</t>
  </si>
  <si>
    <t xml:space="preserve">   O &amp; M - 6 Plex</t>
  </si>
  <si>
    <t>5600-06</t>
  </si>
  <si>
    <t xml:space="preserve">   Materials</t>
  </si>
  <si>
    <t>5749-06</t>
  </si>
  <si>
    <t xml:space="preserve">   Equipment Rental</t>
  </si>
  <si>
    <t>5750-06</t>
  </si>
  <si>
    <t xml:space="preserve">   Flood - Expenses</t>
  </si>
  <si>
    <t>5751-06</t>
  </si>
  <si>
    <t xml:space="preserve">   Culvert &amp; Crossing</t>
  </si>
  <si>
    <t>5752-06</t>
  </si>
  <si>
    <t xml:space="preserve">   Wages and Benefits</t>
  </si>
  <si>
    <t>5753-06</t>
  </si>
  <si>
    <t xml:space="preserve">   Trucking</t>
  </si>
  <si>
    <t>5755-06</t>
  </si>
  <si>
    <t xml:space="preserve">   Supplies</t>
  </si>
  <si>
    <t>5756-06</t>
  </si>
  <si>
    <t xml:space="preserve">   Amphibex</t>
  </si>
  <si>
    <t>5757-06</t>
  </si>
  <si>
    <t xml:space="preserve">   Spring Flood - 12/13</t>
  </si>
  <si>
    <t>5775-06</t>
  </si>
  <si>
    <t>Community Celebration</t>
  </si>
  <si>
    <t>4100-08</t>
  </si>
  <si>
    <t xml:space="preserve">   Revenue - Sponsorship</t>
  </si>
  <si>
    <t>4110-08</t>
  </si>
  <si>
    <t xml:space="preserve">   Revenue - Ticket Sales</t>
  </si>
  <si>
    <t>4120-08</t>
  </si>
  <si>
    <t xml:space="preserve">   Entertainer Costs</t>
  </si>
  <si>
    <t>5100-08</t>
  </si>
  <si>
    <t xml:space="preserve">   Production Costs</t>
  </si>
  <si>
    <t>5110-08</t>
  </si>
  <si>
    <t xml:space="preserve">   Fireworks</t>
  </si>
  <si>
    <t>5120-08</t>
  </si>
  <si>
    <t xml:space="preserve">   Entertainment Rider/Meals</t>
  </si>
  <si>
    <t>5130-08</t>
  </si>
  <si>
    <t xml:space="preserve">   Transportation Costs</t>
  </si>
  <si>
    <t>5140-08</t>
  </si>
  <si>
    <t xml:space="preserve">   Accomodations</t>
  </si>
  <si>
    <t>5150-08</t>
  </si>
  <si>
    <t xml:space="preserve">   Advertising Costs</t>
  </si>
  <si>
    <t>5160-08</t>
  </si>
  <si>
    <t xml:space="preserve">   Ticket Printing Fees</t>
  </si>
  <si>
    <t>5170-08</t>
  </si>
  <si>
    <t xml:space="preserve">   Incidentals</t>
  </si>
  <si>
    <t>5180-08</t>
  </si>
  <si>
    <t xml:space="preserve">   Sewer Services - O &amp; M</t>
  </si>
  <si>
    <t>5600-08</t>
  </si>
  <si>
    <t>Fire Department</t>
  </si>
  <si>
    <t xml:space="preserve">   Revenue - INAC Allocation</t>
  </si>
  <si>
    <t>4000-10</t>
  </si>
  <si>
    <t xml:space="preserve">   Honorarium - Fire Department</t>
  </si>
  <si>
    <t>5002-10</t>
  </si>
  <si>
    <t xml:space="preserve">   Janitorial</t>
  </si>
  <si>
    <t>5050-10</t>
  </si>
  <si>
    <t xml:space="preserve">   Telephone - Fire Hall</t>
  </si>
  <si>
    <t>5230-10</t>
  </si>
  <si>
    <t xml:space="preserve">   Dispatcher</t>
  </si>
  <si>
    <t>5232-10</t>
  </si>
  <si>
    <t xml:space="preserve">   Supplies - Fire Department</t>
  </si>
  <si>
    <t>5320-10</t>
  </si>
  <si>
    <t xml:space="preserve">   Fire Training</t>
  </si>
  <si>
    <t>5360-10</t>
  </si>
  <si>
    <t xml:space="preserve">   Fire Department Workshops</t>
  </si>
  <si>
    <t>5361-10</t>
  </si>
  <si>
    <t xml:space="preserve">   Fire Prevention Material</t>
  </si>
  <si>
    <t>5362-10</t>
  </si>
  <si>
    <t xml:space="preserve">   Travel - Fire</t>
  </si>
  <si>
    <t>5450-10</t>
  </si>
  <si>
    <t xml:space="preserve">   Insurance - Fire Department</t>
  </si>
  <si>
    <t>5465-10</t>
  </si>
  <si>
    <t xml:space="preserve">   Office Furniture</t>
  </si>
  <si>
    <t>5520-10</t>
  </si>
  <si>
    <t xml:space="preserve">   O &amp; M - Fire Hall</t>
  </si>
  <si>
    <t>5600-10</t>
  </si>
  <si>
    <t xml:space="preserve">   Hydro - Fire Hall</t>
  </si>
  <si>
    <t>5604-10</t>
  </si>
  <si>
    <t xml:space="preserve">   O&amp;M Fire Truck</t>
  </si>
  <si>
    <t>5605-10</t>
  </si>
  <si>
    <t xml:space="preserve">   Fire equipment purchases</t>
  </si>
  <si>
    <t>5608-10</t>
  </si>
  <si>
    <t xml:space="preserve">   Fire - Fuel/Oil</t>
  </si>
  <si>
    <t>5609-10</t>
  </si>
  <si>
    <t xml:space="preserve">   Clothing</t>
  </si>
  <si>
    <t>5610-10</t>
  </si>
  <si>
    <t xml:space="preserve">   Communications purchase</t>
  </si>
  <si>
    <t>5620-10</t>
  </si>
  <si>
    <t>Sports &amp; Recreation</t>
  </si>
  <si>
    <t xml:space="preserve">   Revenue - Arena -Facility O &amp; M</t>
  </si>
  <si>
    <t>4000-11</t>
  </si>
  <si>
    <t xml:space="preserve">   Revenue - Arena Rental</t>
  </si>
  <si>
    <t>4003-11</t>
  </si>
  <si>
    <t xml:space="preserve">   Revenue - Canteen &amp; Vending Machines</t>
  </si>
  <si>
    <t>4007-11</t>
  </si>
  <si>
    <t>4008-11</t>
  </si>
  <si>
    <t>5000-11</t>
  </si>
  <si>
    <t>5002-11</t>
  </si>
  <si>
    <t xml:space="preserve">   Salary - Recreation Coordinator Assistant</t>
  </si>
  <si>
    <t>5003-11</t>
  </si>
  <si>
    <t xml:space="preserve">   E.I. Benefits - Recreation</t>
  </si>
  <si>
    <t>5110-11</t>
  </si>
  <si>
    <t xml:space="preserve">   R.P.P. Benefits - Recreation</t>
  </si>
  <si>
    <t>5111-11</t>
  </si>
  <si>
    <t xml:space="preserve">   Group Ins Benefits - Recreatio</t>
  </si>
  <si>
    <t>5112-11</t>
  </si>
  <si>
    <t xml:space="preserve">   Internet - Arena</t>
  </si>
  <si>
    <t>5230-11</t>
  </si>
  <si>
    <t xml:space="preserve">   Telephone - Arena</t>
  </si>
  <si>
    <t>5231-11</t>
  </si>
  <si>
    <t xml:space="preserve">   Supplies - Recreation</t>
  </si>
  <si>
    <t>5320-11</t>
  </si>
  <si>
    <t xml:space="preserve">   Arena - Equipment</t>
  </si>
  <si>
    <t>5321-11</t>
  </si>
  <si>
    <t xml:space="preserve">   Arena supplies</t>
  </si>
  <si>
    <t>5325-11</t>
  </si>
  <si>
    <t xml:space="preserve">   Travel - Recreation Co-ordinator</t>
  </si>
  <si>
    <t>5450-11</t>
  </si>
  <si>
    <t xml:space="preserve">   Travel - Recreation Other</t>
  </si>
  <si>
    <t>5451-11</t>
  </si>
  <si>
    <t>5452-11</t>
  </si>
  <si>
    <t>5465-11</t>
  </si>
  <si>
    <t xml:space="preserve">   O &amp; M Arena</t>
  </si>
  <si>
    <t>5600-11</t>
  </si>
  <si>
    <t xml:space="preserve">   Hydro - Arena</t>
  </si>
  <si>
    <t>5601-11</t>
  </si>
  <si>
    <t xml:space="preserve">   Hydro - Treaty Grounds</t>
  </si>
  <si>
    <t>5603-11</t>
  </si>
  <si>
    <t xml:space="preserve">   O &amp; M - Treaty Grounds</t>
  </si>
  <si>
    <t>5606-11</t>
  </si>
  <si>
    <t xml:space="preserve">   O &amp; M Equipment</t>
  </si>
  <si>
    <t>5608-11</t>
  </si>
  <si>
    <t xml:space="preserve">   Contribution to youth activities</t>
  </si>
  <si>
    <t>5800-11</t>
  </si>
  <si>
    <t>Community Services</t>
  </si>
  <si>
    <t xml:space="preserve">   Revenue - INAC - Community Services</t>
  </si>
  <si>
    <t>4000-12</t>
  </si>
  <si>
    <t xml:space="preserve">   Revenue - Community Services</t>
  </si>
  <si>
    <t>4001-12</t>
  </si>
  <si>
    <t xml:space="preserve">   Revenue- Garbage Pickup Fees</t>
  </si>
  <si>
    <t>4019-12</t>
  </si>
  <si>
    <t xml:space="preserve">   Salary- Sanitation - O &amp; M</t>
  </si>
  <si>
    <t>5000-12</t>
  </si>
  <si>
    <t xml:space="preserve">   Salary - General Maintenance</t>
  </si>
  <si>
    <t>5001-12</t>
  </si>
  <si>
    <t xml:space="preserve">   Security - Dogs</t>
  </si>
  <si>
    <t>5002-12</t>
  </si>
  <si>
    <t xml:space="preserve">   Salary - Landfill Site</t>
  </si>
  <si>
    <t>5007-12</t>
  </si>
  <si>
    <t xml:space="preserve">   Salary - Sewer Water Treatment Plant Operator</t>
  </si>
  <si>
    <t>5008-12</t>
  </si>
  <si>
    <t>5110-12</t>
  </si>
  <si>
    <t xml:space="preserve">   R.P.P. Benefits - Community Services</t>
  </si>
  <si>
    <t>5111-12</t>
  </si>
  <si>
    <t xml:space="preserve">   Group Ins Benefits</t>
  </si>
  <si>
    <t>5112-12</t>
  </si>
  <si>
    <t xml:space="preserve">   Travel - General Maintenance</t>
  </si>
  <si>
    <t>5452-12</t>
  </si>
  <si>
    <t xml:space="preserve">   Travel - Water &amp; Sewer</t>
  </si>
  <si>
    <t>5453-12</t>
  </si>
  <si>
    <t>5465-12</t>
  </si>
  <si>
    <t xml:space="preserve">   Insurance - W&amp;S</t>
  </si>
  <si>
    <t>5466-12</t>
  </si>
  <si>
    <t xml:space="preserve">   Replacement expenses</t>
  </si>
  <si>
    <t>5490-12</t>
  </si>
  <si>
    <t xml:space="preserve">   Land Fill Site</t>
  </si>
  <si>
    <t>5501-12</t>
  </si>
  <si>
    <t xml:space="preserve">   Electricity to Landfill Site</t>
  </si>
  <si>
    <t>5502-12</t>
  </si>
  <si>
    <t xml:space="preserve">   O &amp; M - Water Sewer Plant</t>
  </si>
  <si>
    <t>5600-12</t>
  </si>
  <si>
    <t xml:space="preserve">   Hydro - Band Shop</t>
  </si>
  <si>
    <t>5604-12</t>
  </si>
  <si>
    <t xml:space="preserve">   O &amp; M - Garbage Truck</t>
  </si>
  <si>
    <t>5605-12</t>
  </si>
  <si>
    <t xml:space="preserve">   O &amp; M Tractor Mower</t>
  </si>
  <si>
    <t>5606-12</t>
  </si>
  <si>
    <t xml:space="preserve">   Equipment O &amp; M</t>
  </si>
  <si>
    <t>5608-12</t>
  </si>
  <si>
    <t xml:space="preserve">   Sewer &amp; Water Lines</t>
  </si>
  <si>
    <t>5609-12</t>
  </si>
  <si>
    <t xml:space="preserve">   Hydro-Lagoon Station</t>
  </si>
  <si>
    <t>5619-12</t>
  </si>
  <si>
    <t>5620-12</t>
  </si>
  <si>
    <t xml:space="preserve">   Roads &amp; Driveways</t>
  </si>
  <si>
    <t>5701-12</t>
  </si>
  <si>
    <t xml:space="preserve">   Hydro - Community Lights</t>
  </si>
  <si>
    <t>5704-12</t>
  </si>
  <si>
    <t xml:space="preserve">   O &amp; M Septic Truck</t>
  </si>
  <si>
    <t>5706-12</t>
  </si>
  <si>
    <t xml:space="preserve">   R &amp; D Winter Contract</t>
  </si>
  <si>
    <t>5708-12</t>
  </si>
  <si>
    <t>5728-12</t>
  </si>
  <si>
    <t>5730-12</t>
  </si>
  <si>
    <t xml:space="preserve">   Woodcutting Project</t>
  </si>
  <si>
    <t>5759-12</t>
  </si>
  <si>
    <t xml:space="preserve">   Paving loan payments</t>
  </si>
  <si>
    <t>5801-12</t>
  </si>
  <si>
    <t>F.R. V.L.T.'S</t>
  </si>
  <si>
    <t xml:space="preserve">   Revenue - V.L.T.s Terminals</t>
  </si>
  <si>
    <t>4000-13</t>
  </si>
  <si>
    <t xml:space="preserve">   Revenue - V.L.T's Canteen Sale</t>
  </si>
  <si>
    <t>4001-13</t>
  </si>
  <si>
    <t xml:space="preserve">   Salaries - V.L.T.'S</t>
  </si>
  <si>
    <t>5000-13</t>
  </si>
  <si>
    <t xml:space="preserve">   Bank charges - VLT</t>
  </si>
  <si>
    <t>5060-13</t>
  </si>
  <si>
    <t xml:space="preserve">   E.I Benefits - V.L.T.'S</t>
  </si>
  <si>
    <t>5110-13</t>
  </si>
  <si>
    <t xml:space="preserve">   R.P.P. Benefits - V.L.T.'S</t>
  </si>
  <si>
    <t>5111-13</t>
  </si>
  <si>
    <t xml:space="preserve">   Group Ins Benefits - V.L.T.'S</t>
  </si>
  <si>
    <t>5112-13</t>
  </si>
  <si>
    <t>5113-13</t>
  </si>
  <si>
    <t xml:space="preserve">   Sports &amp; Rec - Contribution</t>
  </si>
  <si>
    <t>5205-13</t>
  </si>
  <si>
    <t xml:space="preserve">   V.L.T. License</t>
  </si>
  <si>
    <t>5215-13</t>
  </si>
  <si>
    <t xml:space="preserve">   Rent - V.L.T.'s</t>
  </si>
  <si>
    <t>5220-13</t>
  </si>
  <si>
    <t xml:space="preserve">   Telephone - V.L.T.'s</t>
  </si>
  <si>
    <t>5230-13</t>
  </si>
  <si>
    <t xml:space="preserve">   Admin Fees - V.L.T's</t>
  </si>
  <si>
    <t>5251-13</t>
  </si>
  <si>
    <t xml:space="preserve">   Advertising and promotion</t>
  </si>
  <si>
    <t>5275-13</t>
  </si>
  <si>
    <t xml:space="preserve">   Functions and Events</t>
  </si>
  <si>
    <t>5280-13</t>
  </si>
  <si>
    <t xml:space="preserve">   10% Commission - V.L.T's</t>
  </si>
  <si>
    <t>5300-13</t>
  </si>
  <si>
    <t xml:space="preserve">   Payouts - V.L.T.'s</t>
  </si>
  <si>
    <t>5301-13</t>
  </si>
  <si>
    <t xml:space="preserve">   Supplies - V.L.T.'s</t>
  </si>
  <si>
    <t>5320-13</t>
  </si>
  <si>
    <t xml:space="preserve">   Canteen - V.L.T.'s</t>
  </si>
  <si>
    <t>5321-13</t>
  </si>
  <si>
    <t xml:space="preserve">   V.L.T. new machines</t>
  </si>
  <si>
    <t>5326-13</t>
  </si>
  <si>
    <t xml:space="preserve">   Travel - VLT's</t>
  </si>
  <si>
    <t>5450-13</t>
  </si>
  <si>
    <t xml:space="preserve">   Insurance - V.L.T.'s</t>
  </si>
  <si>
    <t>5465-13</t>
  </si>
  <si>
    <t xml:space="preserve">   O &amp; M - V.L.T's</t>
  </si>
  <si>
    <t>5600-13</t>
  </si>
  <si>
    <t xml:space="preserve">   Hydro - V.L.T.'s</t>
  </si>
  <si>
    <t>5601-13</t>
  </si>
  <si>
    <t xml:space="preserve">   O &amp; M Hall</t>
  </si>
  <si>
    <t>5602-13</t>
  </si>
  <si>
    <t xml:space="preserve">   Contingency - V.L.T's</t>
  </si>
  <si>
    <t>5900-13</t>
  </si>
  <si>
    <t xml:space="preserve">   VLT - revenue cash over/short</t>
  </si>
  <si>
    <t>5995-13</t>
  </si>
  <si>
    <t xml:space="preserve">   Canteen sales - over/short</t>
  </si>
  <si>
    <t>5996-13</t>
  </si>
  <si>
    <t xml:space="preserve">   Contribution to PowWow</t>
  </si>
  <si>
    <t>6000-13</t>
  </si>
  <si>
    <t>6003-13</t>
  </si>
  <si>
    <t xml:space="preserve">   Contributions - Community celebrations</t>
  </si>
  <si>
    <t>6006-13</t>
  </si>
  <si>
    <t xml:space="preserve">   Contributions - Group applicants</t>
  </si>
  <si>
    <t>6007-13</t>
  </si>
  <si>
    <t xml:space="preserve">   Contributions - Single applicants</t>
  </si>
  <si>
    <t>6008-13</t>
  </si>
  <si>
    <t xml:space="preserve">   Contributions - CSS School</t>
  </si>
  <si>
    <t>6010-13</t>
  </si>
  <si>
    <t xml:space="preserve">   Event meal tickets</t>
  </si>
  <si>
    <t>6015-13</t>
  </si>
  <si>
    <t xml:space="preserve">   Contribution to Church</t>
  </si>
  <si>
    <t>6017-13</t>
  </si>
  <si>
    <t xml:space="preserve">   Contribution - Grad Trip</t>
  </si>
  <si>
    <t>6020-13</t>
  </si>
  <si>
    <t xml:space="preserve">   Contribution to right to play program</t>
  </si>
  <si>
    <t>6023-13</t>
  </si>
  <si>
    <t xml:space="preserve">   Contribution - Jr B Hockey</t>
  </si>
  <si>
    <t>6025-13</t>
  </si>
  <si>
    <t xml:space="preserve">   Contributions - Wellness Center</t>
  </si>
  <si>
    <t>6036-13</t>
  </si>
  <si>
    <t xml:space="preserve">   Contributions - Duplex Project</t>
  </si>
  <si>
    <t>6037-13</t>
  </si>
  <si>
    <t xml:space="preserve">   Contributions - Cemetery Project</t>
  </si>
  <si>
    <t>6038-13</t>
  </si>
  <si>
    <t xml:space="preserve">   Contributions - Radio Station</t>
  </si>
  <si>
    <t>6039-13</t>
  </si>
  <si>
    <t>Housing Department</t>
  </si>
  <si>
    <t xml:space="preserve">   Revenue - INAC Band Housing</t>
  </si>
  <si>
    <t>4000-16</t>
  </si>
  <si>
    <t xml:space="preserve">   REVENUE-CMHC Housing Repairs</t>
  </si>
  <si>
    <t>4001-16</t>
  </si>
  <si>
    <t xml:space="preserve">   REVENUE-RRAP</t>
  </si>
  <si>
    <t>4003-16</t>
  </si>
  <si>
    <t>4007-16</t>
  </si>
  <si>
    <t xml:space="preserve">   REVENUE-HASI</t>
  </si>
  <si>
    <t>4016-16</t>
  </si>
  <si>
    <t>4025-16</t>
  </si>
  <si>
    <t xml:space="preserve">   CMHC Administration Rev - Capital Projects</t>
  </si>
  <si>
    <t>4030-16</t>
  </si>
  <si>
    <t xml:space="preserve">   Housing Manager</t>
  </si>
  <si>
    <t>5005-16</t>
  </si>
  <si>
    <t xml:space="preserve">   Housing Clerk</t>
  </si>
  <si>
    <t>5010-16</t>
  </si>
  <si>
    <t xml:space="preserve">   CMHC Youth Internship</t>
  </si>
  <si>
    <t>5011-16</t>
  </si>
  <si>
    <t xml:space="preserve">   Housing Maintenance</t>
  </si>
  <si>
    <t>5020-16</t>
  </si>
  <si>
    <t xml:space="preserve">   Benefits</t>
  </si>
  <si>
    <t>5100-16</t>
  </si>
  <si>
    <t xml:space="preserve">   EI Benefits -Housing</t>
  </si>
  <si>
    <t>5110-16</t>
  </si>
  <si>
    <t xml:space="preserve">   R.P.P. Benefits - Housing</t>
  </si>
  <si>
    <t>5111-16</t>
  </si>
  <si>
    <t xml:space="preserve">   Housing Administration</t>
  </si>
  <si>
    <t>5150-16</t>
  </si>
  <si>
    <t xml:space="preserve">   Miscellaneous</t>
  </si>
  <si>
    <t>5152-16</t>
  </si>
  <si>
    <t xml:space="preserve">   Housing - professional contract</t>
  </si>
  <si>
    <t>5161-16</t>
  </si>
  <si>
    <t xml:space="preserve">   RRAP Loan Interest</t>
  </si>
  <si>
    <t>5200-16</t>
  </si>
  <si>
    <t xml:space="preserve">   Travel - Housing Manager</t>
  </si>
  <si>
    <t>5450-16</t>
  </si>
  <si>
    <t>5451-16</t>
  </si>
  <si>
    <t xml:space="preserve">   Cost Sharing</t>
  </si>
  <si>
    <t>5498-16</t>
  </si>
  <si>
    <t xml:space="preserve">   CMHC Repairs</t>
  </si>
  <si>
    <t>5499-16</t>
  </si>
  <si>
    <t xml:space="preserve">   Repairs &amp; Renov. Band Units</t>
  </si>
  <si>
    <t>5500-16</t>
  </si>
  <si>
    <t xml:space="preserve">   Work order approvals</t>
  </si>
  <si>
    <t>5501-16</t>
  </si>
  <si>
    <t xml:space="preserve">   Burnouts</t>
  </si>
  <si>
    <t>5502-16</t>
  </si>
  <si>
    <t xml:space="preserve">   SA Workorders - Band</t>
  </si>
  <si>
    <t>5503-16</t>
  </si>
  <si>
    <t xml:space="preserve">   SA Workorders - CMHC</t>
  </si>
  <si>
    <t>5504-16</t>
  </si>
  <si>
    <t xml:space="preserve">   RRAP Expenses R&amp;M Houses</t>
  </si>
  <si>
    <t>5506-16</t>
  </si>
  <si>
    <t>5507-16</t>
  </si>
  <si>
    <t xml:space="preserve">   HASI Expenses</t>
  </si>
  <si>
    <t>5508-16</t>
  </si>
  <si>
    <t>5509-16</t>
  </si>
  <si>
    <t xml:space="preserve">   Home Ownership</t>
  </si>
  <si>
    <t>5520-16</t>
  </si>
  <si>
    <t xml:space="preserve">   Powersmart</t>
  </si>
  <si>
    <t>5700-16</t>
  </si>
  <si>
    <t xml:space="preserve">   FN Equity - Powersmart</t>
  </si>
  <si>
    <t>5703-16</t>
  </si>
  <si>
    <t>4 Duplex rental</t>
  </si>
  <si>
    <t xml:space="preserve">   Revenue - AANDC allocation</t>
  </si>
  <si>
    <t>4000-18</t>
  </si>
  <si>
    <t xml:space="preserve">   Revenue - FN rental subsidy from VLT</t>
  </si>
  <si>
    <t>4001-18</t>
  </si>
  <si>
    <t xml:space="preserve">   Revenue - Rental, Education, PCH, Health</t>
  </si>
  <si>
    <t>4003-18</t>
  </si>
  <si>
    <t>4010-18</t>
  </si>
  <si>
    <t xml:space="preserve">   Operations costs</t>
  </si>
  <si>
    <t>5200-18</t>
  </si>
  <si>
    <t xml:space="preserve">   Construction and equity loan interest costs</t>
  </si>
  <si>
    <t>5201-18</t>
  </si>
  <si>
    <t xml:space="preserve">   Loan Payment - FN - Project Loan</t>
  </si>
  <si>
    <t>5499-18</t>
  </si>
  <si>
    <t xml:space="preserve">   Loan Payment - FN - FN Equity</t>
  </si>
  <si>
    <t>5500-18</t>
  </si>
  <si>
    <t xml:space="preserve">   O &amp; M Duplex</t>
  </si>
  <si>
    <t>5600-18</t>
  </si>
  <si>
    <t>Right to play</t>
  </si>
  <si>
    <t xml:space="preserve">   Revenue - Right to Play</t>
  </si>
  <si>
    <t>4000-19</t>
  </si>
  <si>
    <t xml:space="preserve">   Contribution from VLT</t>
  </si>
  <si>
    <t>4025-19</t>
  </si>
  <si>
    <t xml:space="preserve">   Right to Play - Wages</t>
  </si>
  <si>
    <t>5000-19</t>
  </si>
  <si>
    <t xml:space="preserve">   Right to Play - EI Expense</t>
  </si>
  <si>
    <t>5110-19</t>
  </si>
  <si>
    <t xml:space="preserve">   Right to Play - Youth Leadership/After School</t>
  </si>
  <si>
    <t>5120-19</t>
  </si>
  <si>
    <t xml:space="preserve">   Right to Play - Vehicle O&amp;M</t>
  </si>
  <si>
    <t>5185-19</t>
  </si>
  <si>
    <t>Labor Market- CRF</t>
  </si>
  <si>
    <t xml:space="preserve">   Revenue-CRF-Training/Employment</t>
  </si>
  <si>
    <t>4000-22</t>
  </si>
  <si>
    <t xml:space="preserve">   Revenue - Donations</t>
  </si>
  <si>
    <t>4030-22</t>
  </si>
  <si>
    <t>5000-22</t>
  </si>
  <si>
    <t xml:space="preserve">   Salaries - Mentorship/EI Program</t>
  </si>
  <si>
    <t>5001-22</t>
  </si>
  <si>
    <t>5110-22</t>
  </si>
  <si>
    <t>5111-22</t>
  </si>
  <si>
    <t>5112-22</t>
  </si>
  <si>
    <t>5157-22</t>
  </si>
  <si>
    <t xml:space="preserve">   H.R.D.C. - Rent</t>
  </si>
  <si>
    <t>5220-22</t>
  </si>
  <si>
    <t xml:space="preserve">   Telephone</t>
  </si>
  <si>
    <t>5230-22</t>
  </si>
  <si>
    <t>5320-22</t>
  </si>
  <si>
    <t>5326-22</t>
  </si>
  <si>
    <t xml:space="preserve">   Mentorship - CRF</t>
  </si>
  <si>
    <t>5340-22</t>
  </si>
  <si>
    <t xml:space="preserve">   Staff Training</t>
  </si>
  <si>
    <t>5370-22</t>
  </si>
  <si>
    <t xml:space="preserve">   EYP Program</t>
  </si>
  <si>
    <t>5380-22</t>
  </si>
  <si>
    <t xml:space="preserve">   FREA Training</t>
  </si>
  <si>
    <t>5385-22</t>
  </si>
  <si>
    <t>5450-22</t>
  </si>
  <si>
    <t>5451-22</t>
  </si>
  <si>
    <t>5465-22</t>
  </si>
  <si>
    <t>5480-22</t>
  </si>
  <si>
    <t>5510-22</t>
  </si>
  <si>
    <t>5600-22</t>
  </si>
  <si>
    <t xml:space="preserve">   Youth Support/Drop In</t>
  </si>
  <si>
    <t>5749-22</t>
  </si>
  <si>
    <t xml:space="preserve">   Youth workshops</t>
  </si>
  <si>
    <t>5751-22</t>
  </si>
  <si>
    <t xml:space="preserve">   Partnerships</t>
  </si>
  <si>
    <t>5754-22</t>
  </si>
  <si>
    <t>5900-22</t>
  </si>
  <si>
    <t>Labor Market - EI</t>
  </si>
  <si>
    <t xml:space="preserve">   Revenue-EI-Training/Employmnt</t>
  </si>
  <si>
    <t>4000-24</t>
  </si>
  <si>
    <t xml:space="preserve">   Revenue - Summer Students</t>
  </si>
  <si>
    <t>4010-24</t>
  </si>
  <si>
    <t xml:space="preserve">   Youth Employment Coordinator</t>
  </si>
  <si>
    <t>5000-24</t>
  </si>
  <si>
    <t xml:space="preserve">   EI</t>
  </si>
  <si>
    <t>5110-24</t>
  </si>
  <si>
    <t>5111-24</t>
  </si>
  <si>
    <t xml:space="preserve">   Mentorship</t>
  </si>
  <si>
    <t>5340-24</t>
  </si>
  <si>
    <t>5350-24</t>
  </si>
  <si>
    <t xml:space="preserve">   Partnerships-EI</t>
  </si>
  <si>
    <t>5354-24</t>
  </si>
  <si>
    <t xml:space="preserve">   Enhancement year</t>
  </si>
  <si>
    <t>5380-24</t>
  </si>
  <si>
    <t>5385-24</t>
  </si>
  <si>
    <t xml:space="preserve">   Mobility Assistance</t>
  </si>
  <si>
    <t>5451-24</t>
  </si>
  <si>
    <t xml:space="preserve">   Misc</t>
  </si>
  <si>
    <t>5750-24</t>
  </si>
  <si>
    <t xml:space="preserve">   Revenue - Social Services</t>
  </si>
  <si>
    <t>4000-32</t>
  </si>
  <si>
    <t>4002-32</t>
  </si>
  <si>
    <t xml:space="preserve">   Salaries - Social Services</t>
  </si>
  <si>
    <t>5000-32</t>
  </si>
  <si>
    <t xml:space="preserve">   General Welfare Assistance</t>
  </si>
  <si>
    <t>5001-32</t>
  </si>
  <si>
    <t xml:space="preserve">   Residential Care - Personal Care Home</t>
  </si>
  <si>
    <t>5002-32</t>
  </si>
  <si>
    <t xml:space="preserve">   Special Needs</t>
  </si>
  <si>
    <t>5003-32</t>
  </si>
  <si>
    <t xml:space="preserve">   Subsidy Allowance</t>
  </si>
  <si>
    <t>5010-32</t>
  </si>
  <si>
    <t xml:space="preserve">   Vouchers</t>
  </si>
  <si>
    <t>5100-32</t>
  </si>
  <si>
    <t xml:space="preserve">   Benefits - E.I.</t>
  </si>
  <si>
    <t>5110-32</t>
  </si>
  <si>
    <t xml:space="preserve">   Benefits - R.P.P.</t>
  </si>
  <si>
    <t>5111-32</t>
  </si>
  <si>
    <t xml:space="preserve">   Benefits - Group Insurance</t>
  </si>
  <si>
    <t>5112-32</t>
  </si>
  <si>
    <t xml:space="preserve">   Funerals</t>
  </si>
  <si>
    <t>5200-32</t>
  </si>
  <si>
    <t>5251-32</t>
  </si>
  <si>
    <t xml:space="preserve">   Supplies - Social Services</t>
  </si>
  <si>
    <t>5320-32</t>
  </si>
  <si>
    <t xml:space="preserve">   Computer Hardware - Software</t>
  </si>
  <si>
    <t>5326-32</t>
  </si>
  <si>
    <t xml:space="preserve">   Travel - Social Services</t>
  </si>
  <si>
    <t>5450-32</t>
  </si>
  <si>
    <t xml:space="preserve">   Hydro - Consolidated / Prorated</t>
  </si>
  <si>
    <t>5601-32</t>
  </si>
  <si>
    <t>5602-32</t>
  </si>
  <si>
    <t xml:space="preserve">   METER READS</t>
  </si>
  <si>
    <t>5699-32</t>
  </si>
  <si>
    <t>5900-32</t>
  </si>
  <si>
    <t>Headstart Program</t>
  </si>
  <si>
    <t xml:space="preserve">   Revenue - Headstart Program</t>
  </si>
  <si>
    <t>4000-34</t>
  </si>
  <si>
    <t xml:space="preserve">   Revenue- Headstart-Enhancement funds</t>
  </si>
  <si>
    <t>4050-34</t>
  </si>
  <si>
    <t xml:space="preserve">   Salaries - Headstart</t>
  </si>
  <si>
    <t>5000-34</t>
  </si>
  <si>
    <t xml:space="preserve">   EI Benefits - Headstart</t>
  </si>
  <si>
    <t>5110-34</t>
  </si>
  <si>
    <t xml:space="preserve">   R.P.P. - Employer share</t>
  </si>
  <si>
    <t>5111-34</t>
  </si>
  <si>
    <t xml:space="preserve">   Group Insurance - Employer share</t>
  </si>
  <si>
    <t>5112-34</t>
  </si>
  <si>
    <t xml:space="preserve">   Headstart - Professional Fees</t>
  </si>
  <si>
    <t>5156-34</t>
  </si>
  <si>
    <t xml:space="preserve">   Headstart - Telephone</t>
  </si>
  <si>
    <t>5230-34</t>
  </si>
  <si>
    <t xml:space="preserve">   Headstart - Internet</t>
  </si>
  <si>
    <t>5231-34</t>
  </si>
  <si>
    <t xml:space="preserve">   Headstart - Photocopier</t>
  </si>
  <si>
    <t>5245-34</t>
  </si>
  <si>
    <t xml:space="preserve">   Headstart - Supplies</t>
  </si>
  <si>
    <t>5320-34</t>
  </si>
  <si>
    <t xml:space="preserve">   Headstart - Office Eqipment</t>
  </si>
  <si>
    <t>5322-34</t>
  </si>
  <si>
    <t xml:space="preserve">   Headstart - Classroom Supplies</t>
  </si>
  <si>
    <t>5325-34</t>
  </si>
  <si>
    <t xml:space="preserve">   Headstart - Van O&amp;M</t>
  </si>
  <si>
    <t>5330-34</t>
  </si>
  <si>
    <t xml:space="preserve">   Headstart - Kitchen Food</t>
  </si>
  <si>
    <t>5350-34</t>
  </si>
  <si>
    <t xml:space="preserve">   Headstart - O&amp;M Building &amp; Grounds</t>
  </si>
  <si>
    <t>5400-34</t>
  </si>
  <si>
    <t xml:space="preserve">   Headstart - Travel</t>
  </si>
  <si>
    <t>5450-34</t>
  </si>
  <si>
    <t xml:space="preserve">   Headstart - Insurance</t>
  </si>
  <si>
    <t>5465-34</t>
  </si>
  <si>
    <t xml:space="preserve">   Headstart - Renovations</t>
  </si>
  <si>
    <t>5600-34</t>
  </si>
  <si>
    <t xml:space="preserve">   Headstart - Professional Development</t>
  </si>
  <si>
    <t>5602-34</t>
  </si>
  <si>
    <t xml:space="preserve">   O&amp;M Headstart - Van</t>
  </si>
  <si>
    <t>5603-34</t>
  </si>
  <si>
    <t xml:space="preserve">   Headstart - Training Parents</t>
  </si>
  <si>
    <t>5604-34</t>
  </si>
  <si>
    <t xml:space="preserve">   Headstart - Rent</t>
  </si>
  <si>
    <t>5800-34</t>
  </si>
  <si>
    <t xml:space="preserve">   Headstart - Hydro</t>
  </si>
  <si>
    <t>5810-34</t>
  </si>
  <si>
    <t xml:space="preserve">   Headstart - Van Insurance</t>
  </si>
  <si>
    <t>5961-34</t>
  </si>
  <si>
    <t xml:space="preserve">   Headstart - Van Fuel</t>
  </si>
  <si>
    <t>5962-34</t>
  </si>
  <si>
    <t>Wellness Center - Dept 36</t>
  </si>
  <si>
    <t xml:space="preserve">   Revenue - Band Administration</t>
  </si>
  <si>
    <t>4000-36</t>
  </si>
  <si>
    <t xml:space="preserve">   Contributions from VLT</t>
  </si>
  <si>
    <t>4013-36</t>
  </si>
  <si>
    <t xml:space="preserve">   Contribution from Health</t>
  </si>
  <si>
    <t>4020-36</t>
  </si>
  <si>
    <t xml:space="preserve">   Contribution from TT (bldg repairs)</t>
  </si>
  <si>
    <t>4021-36</t>
  </si>
  <si>
    <t xml:space="preserve">   Salaries</t>
  </si>
  <si>
    <t>5000-36</t>
  </si>
  <si>
    <t xml:space="preserve">   Salary - Illegal Substances Prevention Coordinator</t>
  </si>
  <si>
    <t>5021-36</t>
  </si>
  <si>
    <t xml:space="preserve">   Wellness - Janitorial</t>
  </si>
  <si>
    <t>5050-36</t>
  </si>
  <si>
    <t xml:space="preserve">   E.I. benefits</t>
  </si>
  <si>
    <t>5110-36</t>
  </si>
  <si>
    <t xml:space="preserve">   R.P.P. benefits</t>
  </si>
  <si>
    <t>5111-36</t>
  </si>
  <si>
    <t xml:space="preserve">   Grp Ins Employer Share</t>
  </si>
  <si>
    <t>5112-36</t>
  </si>
  <si>
    <t>5230-36</t>
  </si>
  <si>
    <t xml:space="preserve">   Wellness - Training</t>
  </si>
  <si>
    <t>5240-36</t>
  </si>
  <si>
    <t>5320-36</t>
  </si>
  <si>
    <t xml:space="preserve">   Office Supplies</t>
  </si>
  <si>
    <t>5321-36</t>
  </si>
  <si>
    <t xml:space="preserve">   Travel</t>
  </si>
  <si>
    <t>5450-36</t>
  </si>
  <si>
    <t xml:space="preserve">   Wellness - O&amp;M</t>
  </si>
  <si>
    <t>5600-36</t>
  </si>
  <si>
    <t xml:space="preserve">   Workshops</t>
  </si>
  <si>
    <t>5751-36</t>
  </si>
  <si>
    <t xml:space="preserve">   Resources</t>
  </si>
  <si>
    <t>5752-36</t>
  </si>
  <si>
    <t xml:space="preserve">   Internet</t>
  </si>
  <si>
    <t>5754-36</t>
  </si>
  <si>
    <t>5755-36</t>
  </si>
  <si>
    <t xml:space="preserve">   Hydro</t>
  </si>
  <si>
    <t>5900-36</t>
  </si>
  <si>
    <t xml:space="preserve">   Other</t>
  </si>
  <si>
    <t>6000-36</t>
  </si>
  <si>
    <t xml:space="preserve">   Upgrades - repairs</t>
  </si>
  <si>
    <t>6005-36</t>
  </si>
  <si>
    <t>Land Management Code</t>
  </si>
  <si>
    <t>4000-40</t>
  </si>
  <si>
    <t xml:space="preserve">   Meetings/Mailouts</t>
  </si>
  <si>
    <t>5100-40</t>
  </si>
  <si>
    <t>5156-40</t>
  </si>
  <si>
    <t xml:space="preserve">   Honorarium</t>
  </si>
  <si>
    <t>5200-40</t>
  </si>
  <si>
    <t>Youth Camp Building</t>
  </si>
  <si>
    <t xml:space="preserve">   Revenue - Youth Camp Rental</t>
  </si>
  <si>
    <t>4020-52</t>
  </si>
  <si>
    <t xml:space="preserve">   Revenue - Other</t>
  </si>
  <si>
    <t>4025-52</t>
  </si>
  <si>
    <t xml:space="preserve">   Youth Camp Maintenance Costs</t>
  </si>
  <si>
    <t>5330-52</t>
  </si>
  <si>
    <t xml:space="preserve">   O &amp; M Youth Camp</t>
  </si>
  <si>
    <t>5600-52</t>
  </si>
  <si>
    <t xml:space="preserve">   Youth Camp - Hydro</t>
  </si>
  <si>
    <t>5601-52</t>
  </si>
  <si>
    <t>Fitness Center</t>
  </si>
  <si>
    <t xml:space="preserve">   Membership Fees - Fitness Centre</t>
  </si>
  <si>
    <t>4000-58</t>
  </si>
  <si>
    <t xml:space="preserve">   Sales - Fitness Centre</t>
  </si>
  <si>
    <t>4001-58</t>
  </si>
  <si>
    <t xml:space="preserve">   Contribution from Health - fitness programs</t>
  </si>
  <si>
    <t>4100-58</t>
  </si>
  <si>
    <t>4200-58</t>
  </si>
  <si>
    <t xml:space="preserve">   Revenue - Other Revenue</t>
  </si>
  <si>
    <t>4920-58</t>
  </si>
  <si>
    <t xml:space="preserve">   Salaries-Fitness Centre</t>
  </si>
  <si>
    <t>5000-58</t>
  </si>
  <si>
    <t xml:space="preserve">   E.I. Benefits - Fitness Centre</t>
  </si>
  <si>
    <t>5110-58</t>
  </si>
  <si>
    <t xml:space="preserve">   R.P.P. Benefits - Fitness Centre</t>
  </si>
  <si>
    <t>5111-58</t>
  </si>
  <si>
    <t>5113-58</t>
  </si>
  <si>
    <t xml:space="preserve">   Audit - Fitness Centre</t>
  </si>
  <si>
    <t>5157-58</t>
  </si>
  <si>
    <t xml:space="preserve">   Telephone - Fitness Centre</t>
  </si>
  <si>
    <t>5230-58</t>
  </si>
  <si>
    <t xml:space="preserve">   Internet - Fitness Centre</t>
  </si>
  <si>
    <t>5231-58</t>
  </si>
  <si>
    <t xml:space="preserve">   Office Equipment</t>
  </si>
  <si>
    <t>5310-58</t>
  </si>
  <si>
    <t xml:space="preserve">   Supplies - Fitness Centre</t>
  </si>
  <si>
    <t>5320-58</t>
  </si>
  <si>
    <t xml:space="preserve">   Equipment Purchase</t>
  </si>
  <si>
    <t>5321-58</t>
  </si>
  <si>
    <t>5450-58</t>
  </si>
  <si>
    <t xml:space="preserve">   Insurance - Fitness Centre</t>
  </si>
  <si>
    <t>5465-58</t>
  </si>
  <si>
    <t xml:space="preserve">   O &amp; M Fitness Centre</t>
  </si>
  <si>
    <t>5600-58</t>
  </si>
  <si>
    <t xml:space="preserve">   Hydro - Fitness Centre</t>
  </si>
  <si>
    <t>5601-58</t>
  </si>
  <si>
    <t xml:space="preserve">   Loan Payment/Interest</t>
  </si>
  <si>
    <t>5902-58</t>
  </si>
  <si>
    <t xml:space="preserve">   Advertising - Fitness Centre</t>
  </si>
  <si>
    <t>6900-58</t>
  </si>
  <si>
    <t xml:space="preserve">   Loan interest and fees</t>
  </si>
  <si>
    <t>6902-58</t>
  </si>
  <si>
    <t>Aboriginal Justice Strategy</t>
  </si>
  <si>
    <t xml:space="preserve">   Revenue - Federal Dept of Justice</t>
  </si>
  <si>
    <t>4000-84</t>
  </si>
  <si>
    <t>4010-84</t>
  </si>
  <si>
    <t xml:space="preserve">   Salaries - Dept of Justice</t>
  </si>
  <si>
    <t>5000-84</t>
  </si>
  <si>
    <t xml:space="preserve">   Honorarium - Dept of Justice</t>
  </si>
  <si>
    <t>5010-84</t>
  </si>
  <si>
    <t xml:space="preserve">   EI Benefits - Dept of Justice</t>
  </si>
  <si>
    <t>5110-84</t>
  </si>
  <si>
    <t xml:space="preserve">   RPP  Benefits</t>
  </si>
  <si>
    <t>5111-84</t>
  </si>
  <si>
    <t xml:space="preserve">   Rent and telephone (DPC)</t>
  </si>
  <si>
    <t>5300-84</t>
  </si>
  <si>
    <t xml:space="preserve">   Office equipment and supplies (DPC)</t>
  </si>
  <si>
    <t>5310-84</t>
  </si>
  <si>
    <t>5400-84</t>
  </si>
  <si>
    <t xml:space="preserve">   Training</t>
  </si>
  <si>
    <t>5420-84</t>
  </si>
  <si>
    <t xml:space="preserve">   Cultural expenses (DPC)</t>
  </si>
  <si>
    <t>5430-84</t>
  </si>
  <si>
    <t xml:space="preserve">   Communication (DPC)</t>
  </si>
  <si>
    <t>5440-84</t>
  </si>
  <si>
    <t xml:space="preserve">   Travel - Dept of Justice</t>
  </si>
  <si>
    <t>5450-84</t>
  </si>
  <si>
    <t>ALLOCATE TO BAND MGMT- Dept 1</t>
  </si>
  <si>
    <t>$2.2M GIC @ 1% rate</t>
  </si>
  <si>
    <t>Youth Activities - Dept 11</t>
  </si>
  <si>
    <t>Youth Camp - Dept 52</t>
  </si>
  <si>
    <t>Fitness Centre - Dept 58</t>
  </si>
  <si>
    <t>Social Services - Dept 32</t>
  </si>
  <si>
    <t>Average $20k/month</t>
  </si>
  <si>
    <t>Based on YTD prorated</t>
  </si>
  <si>
    <t>Lawyers, accountants, consultants</t>
  </si>
  <si>
    <t>MNP</t>
  </si>
  <si>
    <t>Per Province letter</t>
  </si>
  <si>
    <t>5802-12</t>
  </si>
  <si>
    <t xml:space="preserve">   Arena loan payments</t>
  </si>
  <si>
    <t xml:space="preserve">   Garbage truck loan - interest</t>
  </si>
  <si>
    <t xml:space="preserve">   Grader loan payments - interest</t>
  </si>
  <si>
    <t>10% net payouts</t>
  </si>
  <si>
    <t>78% average</t>
  </si>
  <si>
    <t>Transfer to Dept 8</t>
  </si>
  <si>
    <t>Transfer from Dept 13</t>
  </si>
  <si>
    <t>Transfer to Dept 19</t>
  </si>
  <si>
    <t>Transfer to Dept 36</t>
  </si>
  <si>
    <t>Unit complete</t>
  </si>
  <si>
    <t>Transfer to Dept 1</t>
  </si>
  <si>
    <t>To Dept 1</t>
  </si>
  <si>
    <t>SUMMER WORK EXPERIENCE (TO ADMIN)</t>
  </si>
  <si>
    <t>2% inflation</t>
  </si>
  <si>
    <t>$49k per month</t>
  </si>
  <si>
    <t>$4k per month average</t>
  </si>
  <si>
    <t>$17,037.50/month + 2% inflation</t>
  </si>
  <si>
    <t>Wellness Centre - Dept 36</t>
  </si>
  <si>
    <t>Per latest statement</t>
  </si>
  <si>
    <t>Reallocated</t>
  </si>
  <si>
    <t>$3641.26 monthly</t>
  </si>
  <si>
    <t>DEPT. 10 FIRE AND EMERGENCY SERVICES</t>
  </si>
  <si>
    <t>DEPT. 8 COMMUNITY CELEBRATION</t>
  </si>
  <si>
    <t>DEPT. 12 COMMUNITY SERVICES</t>
  </si>
  <si>
    <t>DEPT. 84 JUSTICE PROGRAM</t>
  </si>
  <si>
    <t>DEPT. 52 YOUTH CAMP BUILDING</t>
  </si>
  <si>
    <t>DEPT.19  RIGHT TO PLAY</t>
  </si>
  <si>
    <t>DEPT.18  4 DUPLEX PROJECT</t>
  </si>
  <si>
    <t>DEPT. 32 SOCIAL SERVICES</t>
  </si>
  <si>
    <t>DEPT. 34 HEADSTART PROGRAM</t>
  </si>
  <si>
    <t>DEPT. 40 CAPP / LAND MANAGEMENT</t>
  </si>
  <si>
    <t>DEPT. 5 POLICING</t>
  </si>
  <si>
    <t>From Dept 24</t>
  </si>
  <si>
    <t>$3k quarterly from Dept 22</t>
  </si>
  <si>
    <t>Dept 13</t>
  </si>
  <si>
    <t>Dept 34</t>
  </si>
  <si>
    <t>Transfer from Dept 22</t>
  </si>
  <si>
    <t>Human Resources - Dept 22</t>
  </si>
  <si>
    <t>Loan Summary</t>
  </si>
  <si>
    <t>Loan #</t>
  </si>
  <si>
    <t>Loan Desc</t>
  </si>
  <si>
    <t>Admin LOC</t>
  </si>
  <si>
    <t>Account</t>
  </si>
  <si>
    <t>Outstanding</t>
  </si>
  <si>
    <t>Interest Rate</t>
  </si>
  <si>
    <t>RRAP LOC</t>
  </si>
  <si>
    <t>LTD Summary</t>
  </si>
  <si>
    <t>Garbage Truck</t>
  </si>
  <si>
    <t>January 21/16</t>
  </si>
  <si>
    <t>Monthly Pmt</t>
  </si>
  <si>
    <t>Monthly Interest</t>
  </si>
  <si>
    <t>Per LTD Summary</t>
  </si>
  <si>
    <t>Arena parking lot</t>
  </si>
  <si>
    <t xml:space="preserve">Interest </t>
  </si>
  <si>
    <t>Principal</t>
  </si>
  <si>
    <t>Ending</t>
  </si>
  <si>
    <t>Loan 57</t>
  </si>
  <si>
    <t>Quarterly</t>
  </si>
  <si>
    <t>Trailers</t>
  </si>
  <si>
    <t>Loan 61</t>
  </si>
  <si>
    <t>Annual report</t>
  </si>
  <si>
    <t>Per Fund Distributions Tab</t>
  </si>
  <si>
    <t>5702-16</t>
  </si>
  <si>
    <t>New account</t>
  </si>
  <si>
    <t>5749-24</t>
  </si>
  <si>
    <t>Per agreement</t>
  </si>
  <si>
    <t>Community Centre</t>
  </si>
  <si>
    <t>Total Pmt</t>
  </si>
  <si>
    <t>CMHC</t>
  </si>
  <si>
    <t>Opening LOC Balance</t>
  </si>
  <si>
    <t>Monthly Principal</t>
  </si>
  <si>
    <t>Maximum</t>
  </si>
  <si>
    <t>Change in cash</t>
  </si>
  <si>
    <t>Ending Cash</t>
  </si>
  <si>
    <t>Add: Net Income per Budget</t>
  </si>
  <si>
    <t>Per Dept Summary</t>
  </si>
  <si>
    <t>Per Loan Summary</t>
  </si>
  <si>
    <t xml:space="preserve">   CMHC - Housing Internship</t>
  </si>
  <si>
    <t>Fitness Centre Loan</t>
  </si>
  <si>
    <t>$3500/unit</t>
  </si>
  <si>
    <t>4 Unit Project</t>
  </si>
  <si>
    <t xml:space="preserve">   Board Honorarium</t>
  </si>
  <si>
    <t>Cost sharing with residents</t>
  </si>
  <si>
    <t>Replacement reserve items</t>
  </si>
  <si>
    <t xml:space="preserve">   Pest Control</t>
  </si>
  <si>
    <t>Duplex loan</t>
  </si>
  <si>
    <t xml:space="preserve">Duplex Unit Loan </t>
  </si>
  <si>
    <t>Annual Pmt</t>
  </si>
  <si>
    <t>Fitness Centre</t>
  </si>
  <si>
    <t>PROJECTED REVENUE</t>
  </si>
  <si>
    <t>2016-2017</t>
  </si>
  <si>
    <t>MFNERC - SISIW</t>
  </si>
  <si>
    <t>Special Education**</t>
  </si>
  <si>
    <t>Cafeteria Sales ($400 x 200)</t>
  </si>
  <si>
    <t>GST Recovery</t>
  </si>
  <si>
    <t>Student Support</t>
  </si>
  <si>
    <t>Admin Fee</t>
  </si>
  <si>
    <t>GIC</t>
  </si>
  <si>
    <t>TOTAL REVENUE</t>
  </si>
  <si>
    <t>PROJECTED EXPENSES</t>
  </si>
  <si>
    <t xml:space="preserve">Secondary </t>
  </si>
  <si>
    <t xml:space="preserve">Special Education </t>
  </si>
  <si>
    <t>Cafeteria</t>
  </si>
  <si>
    <t xml:space="preserve">Board </t>
  </si>
  <si>
    <t>Administration</t>
  </si>
  <si>
    <t>Transportation</t>
  </si>
  <si>
    <t>O &amp; M</t>
  </si>
  <si>
    <t>Student Services</t>
  </si>
  <si>
    <t>TOTAL EXPENSES</t>
  </si>
  <si>
    <t>VARIANCE</t>
  </si>
  <si>
    <t xml:space="preserve">EARLY YEARS </t>
  </si>
  <si>
    <t>Support Staff (3)</t>
  </si>
  <si>
    <t>Benefits</t>
  </si>
  <si>
    <t>Professional Development</t>
  </si>
  <si>
    <t>Equipment Lease</t>
  </si>
  <si>
    <t>Telephone</t>
  </si>
  <si>
    <t>Office</t>
  </si>
  <si>
    <t>Consumable</t>
  </si>
  <si>
    <t>Classroom Instruction</t>
  </si>
  <si>
    <t>Library</t>
  </si>
  <si>
    <t>Events</t>
  </si>
  <si>
    <t>Grad &amp; Awards</t>
  </si>
  <si>
    <t>Travel</t>
  </si>
  <si>
    <t>TOTAL</t>
  </si>
  <si>
    <t>SECONDARY</t>
  </si>
  <si>
    <t>Consumable Supplies</t>
  </si>
  <si>
    <t>Physical Education</t>
  </si>
  <si>
    <t>Outdoor Education</t>
  </si>
  <si>
    <t>Home Ec</t>
  </si>
  <si>
    <t>Industrial Arts</t>
  </si>
  <si>
    <t>SPECIAL EDUCATION</t>
  </si>
  <si>
    <t>TRANSPORTATION</t>
  </si>
  <si>
    <t>Salaries</t>
  </si>
  <si>
    <t>Substitute Drivers</t>
  </si>
  <si>
    <t>Contribution to Reserve Fund</t>
  </si>
  <si>
    <t>School Bus Depreciation</t>
  </si>
  <si>
    <t>Warehouse O &amp; M</t>
  </si>
  <si>
    <t>Bus Insurance</t>
  </si>
  <si>
    <t>Bus O &amp; M</t>
  </si>
  <si>
    <t>Van O &amp; M</t>
  </si>
  <si>
    <t>Extra Curricular</t>
  </si>
  <si>
    <t>CAFETERIA</t>
  </si>
  <si>
    <t>Supplies</t>
  </si>
  <si>
    <t>MAINTENANCE</t>
  </si>
  <si>
    <t>Sanitation</t>
  </si>
  <si>
    <t>Freight/Travel Allowance</t>
  </si>
  <si>
    <t>Supplies - Housekeeping</t>
  </si>
  <si>
    <t>Maintenance - School</t>
  </si>
  <si>
    <t>Maintenance - Teacherages</t>
  </si>
  <si>
    <t>Service Calls</t>
  </si>
  <si>
    <t>Insurance</t>
  </si>
  <si>
    <t>Hydro - School</t>
  </si>
  <si>
    <t>Hydro - Admin Office</t>
  </si>
  <si>
    <t>Hydro - Warehouse</t>
  </si>
  <si>
    <t>Hydro - Teacherages</t>
  </si>
  <si>
    <t>BOARD</t>
  </si>
  <si>
    <t>Board Honorarium</t>
  </si>
  <si>
    <t>Board Travel</t>
  </si>
  <si>
    <t>Board Incentive</t>
  </si>
  <si>
    <t>Board Contribution</t>
  </si>
  <si>
    <t xml:space="preserve">TOTAL </t>
  </si>
  <si>
    <t>Professional Fees</t>
  </si>
  <si>
    <t>Service Charges</t>
  </si>
  <si>
    <t>Travel:  Director</t>
  </si>
  <si>
    <t>Travel:  Finance</t>
  </si>
  <si>
    <t>Travel:  Executive Assistant</t>
  </si>
  <si>
    <t>STUDENT SERVICES</t>
  </si>
  <si>
    <t>POST SECONDARY</t>
  </si>
  <si>
    <t>TOTAL P/S BUDGET</t>
  </si>
  <si>
    <t>Inflation Factor</t>
  </si>
  <si>
    <t>Both are x prior year totals</t>
  </si>
  <si>
    <t>Band Management</t>
  </si>
  <si>
    <t>Initial</t>
  </si>
  <si>
    <t>.0741 of increase included in initial block</t>
  </si>
  <si>
    <t>Flood Preparedness</t>
  </si>
  <si>
    <t>Water &amp; Sewer Facilities O&amp;M</t>
  </si>
  <si>
    <t>Education O&amp;M</t>
  </si>
  <si>
    <t>Elementary/Secondary</t>
  </si>
  <si>
    <t>Sept'10-Mar'11</t>
  </si>
  <si>
    <t>(Amendment )</t>
  </si>
  <si>
    <t>Summer Work Experience</t>
  </si>
  <si>
    <t>Proposal driven</t>
  </si>
  <si>
    <t>(Amendment)</t>
  </si>
  <si>
    <t>Personal Care Home (Assisted living)</t>
  </si>
  <si>
    <t xml:space="preserve">Homecare </t>
  </si>
  <si>
    <t>TOTAL PCH</t>
  </si>
  <si>
    <t>Housing Authority (Capital)</t>
  </si>
  <si>
    <t>Economic Development</t>
  </si>
  <si>
    <t>Healing Centre (Family Violence)</t>
  </si>
  <si>
    <t>Combined INAC Funding</t>
  </si>
  <si>
    <t>Per INAC Funding Agreement</t>
  </si>
  <si>
    <t>Sports and Recreation</t>
  </si>
  <si>
    <t xml:space="preserve">   Revenue - Treaty Days</t>
  </si>
  <si>
    <t xml:space="preserve">   Revenue - Misc.</t>
  </si>
  <si>
    <t xml:space="preserve">   Revenue - Victoria Day</t>
  </si>
  <si>
    <t xml:space="preserve">   Revenue - Grants</t>
  </si>
  <si>
    <t xml:space="preserve">   Revenue - Donations - Heritage Day</t>
  </si>
  <si>
    <t xml:space="preserve">   Revenue - New Years Eve</t>
  </si>
  <si>
    <t>4009-1</t>
  </si>
  <si>
    <t>4012-1</t>
  </si>
  <si>
    <t>4017-1</t>
  </si>
  <si>
    <t>4019-1</t>
  </si>
  <si>
    <t>4024-1</t>
  </si>
  <si>
    <t>4033-1</t>
  </si>
  <si>
    <t>4035-1</t>
  </si>
  <si>
    <t>4039-1</t>
  </si>
  <si>
    <t xml:space="preserve">   Grounds maintenance</t>
  </si>
  <si>
    <t xml:space="preserve">   Treaty Days</t>
  </si>
  <si>
    <t xml:space="preserve">   Victoria Day</t>
  </si>
  <si>
    <t xml:space="preserve">   Heritage Day</t>
  </si>
  <si>
    <t xml:space="preserve">   Christmas</t>
  </si>
  <si>
    <t xml:space="preserve">   New Year's</t>
  </si>
  <si>
    <t xml:space="preserve">   Canada Day</t>
  </si>
  <si>
    <t>5170-1</t>
  </si>
  <si>
    <t>5253-1</t>
  </si>
  <si>
    <t>5550-1</t>
  </si>
  <si>
    <t>5551-1</t>
  </si>
  <si>
    <t>5553-1</t>
  </si>
  <si>
    <t>5557-1</t>
  </si>
  <si>
    <t>5558-1</t>
  </si>
  <si>
    <t>5561-1</t>
  </si>
  <si>
    <t xml:space="preserve">   Revenue - Bingo</t>
  </si>
  <si>
    <t xml:space="preserve">   Revenue - Dabber sales</t>
  </si>
  <si>
    <t>4000-2</t>
  </si>
  <si>
    <t>4018-2</t>
  </si>
  <si>
    <t xml:space="preserve">   Supplies - Bingo</t>
  </si>
  <si>
    <t xml:space="preserve">   Supplies - Bingo paper</t>
  </si>
  <si>
    <t xml:space="preserve">   Bingo Dabber supplies</t>
  </si>
  <si>
    <t xml:space="preserve">   Audit Fees</t>
  </si>
  <si>
    <t xml:space="preserve">   Travel - Bingo</t>
  </si>
  <si>
    <t xml:space="preserve">   Bingo Prizes</t>
  </si>
  <si>
    <t xml:space="preserve">   Bingo Float</t>
  </si>
  <si>
    <t xml:space="preserve">   Bingo Cash over/short</t>
  </si>
  <si>
    <t xml:space="preserve">   Wages - Bingo</t>
  </si>
  <si>
    <t xml:space="preserve">   Bingo Door Prizes &amp; Donations</t>
  </si>
  <si>
    <t xml:space="preserve">   Donations</t>
  </si>
  <si>
    <t xml:space="preserve">   Staff expenses - Bingo</t>
  </si>
  <si>
    <t xml:space="preserve">   CSS Breakfast Program - Contribution</t>
  </si>
  <si>
    <t xml:space="preserve">   140th Anniversary Celebrations Contributions</t>
  </si>
  <si>
    <t>5150-2</t>
  </si>
  <si>
    <t>5151-2</t>
  </si>
  <si>
    <t>5152-2</t>
  </si>
  <si>
    <t>5157-2</t>
  </si>
  <si>
    <t>5185-2</t>
  </si>
  <si>
    <t>5300-2</t>
  </si>
  <si>
    <t>5301-2</t>
  </si>
  <si>
    <t>5303-2</t>
  </si>
  <si>
    <t>5305-2</t>
  </si>
  <si>
    <t>5307-2</t>
  </si>
  <si>
    <t>5308-2</t>
  </si>
  <si>
    <t>5316-2</t>
  </si>
  <si>
    <t>5317-2</t>
  </si>
  <si>
    <t>5320-2</t>
  </si>
  <si>
    <t>Treaty Days Contribution - S&amp;R Admin</t>
  </si>
  <si>
    <t>Transfer from VLT Dept 13</t>
  </si>
  <si>
    <t>Assume 0 net effect</t>
  </si>
  <si>
    <t>GAMING COMMISSION</t>
  </si>
  <si>
    <t>REVENUE</t>
  </si>
  <si>
    <t>EXPENDITURE</t>
  </si>
  <si>
    <t>Bank charges</t>
  </si>
  <si>
    <t>Bingo paper sales</t>
  </si>
  <si>
    <t>License fees</t>
  </si>
  <si>
    <t>Bingo paper</t>
  </si>
  <si>
    <t>Wages</t>
  </si>
  <si>
    <t>Audit</t>
  </si>
  <si>
    <t>Office supplies</t>
  </si>
  <si>
    <t>Excess revenue / expenses</t>
  </si>
  <si>
    <t xml:space="preserve">   Licensing fee - Bingo</t>
  </si>
  <si>
    <t>5200-2</t>
  </si>
  <si>
    <t xml:space="preserve">   Revenue - Program Allocation</t>
  </si>
  <si>
    <t>4000-99</t>
  </si>
  <si>
    <t xml:space="preserve">   CMHC Subsidies - 21 units</t>
  </si>
  <si>
    <t>4200-00</t>
  </si>
  <si>
    <t xml:space="preserve">   CMHC Subsidies - 5 units 84/85</t>
  </si>
  <si>
    <t>4200-02</t>
  </si>
  <si>
    <t xml:space="preserve">   CMHC Subsidies - 6 elder units</t>
  </si>
  <si>
    <t>4200-07</t>
  </si>
  <si>
    <t xml:space="preserve">   CMHC Subsidy - 15 unit 95/96</t>
  </si>
  <si>
    <t>4200-09</t>
  </si>
  <si>
    <t xml:space="preserve">   CMHC Subsidies - 6 units 98/99</t>
  </si>
  <si>
    <t>4200-10</t>
  </si>
  <si>
    <t xml:space="preserve">   CMHC Subsidy - 14 unit</t>
  </si>
  <si>
    <t>4200-13</t>
  </si>
  <si>
    <t xml:space="preserve">   CMHC Subsidies - 10 unit 00/01</t>
  </si>
  <si>
    <t>4200-14</t>
  </si>
  <si>
    <t xml:space="preserve">   C.M.H.C Subsidy - 4 unit</t>
  </si>
  <si>
    <t>4200-16</t>
  </si>
  <si>
    <t xml:space="preserve">   C.M.H.C. Subsidy-6 Units 02/03</t>
  </si>
  <si>
    <t>4200-17</t>
  </si>
  <si>
    <t xml:space="preserve">   CMHC - Subsidies 1 unit</t>
  </si>
  <si>
    <t>4200-19</t>
  </si>
  <si>
    <t xml:space="preserve">   CHMC - Subsidies 2 Unit</t>
  </si>
  <si>
    <t>4200-20</t>
  </si>
  <si>
    <t xml:space="preserve">   CMHC - Subsidies 3 Units</t>
  </si>
  <si>
    <t>4200-21</t>
  </si>
  <si>
    <t xml:space="preserve">   CMHC - Subsidies - 6 A 04/05</t>
  </si>
  <si>
    <t>4200-22</t>
  </si>
  <si>
    <t xml:space="preserve">   CMHC - Subsidies - 6 Units Nov 1/05</t>
  </si>
  <si>
    <t>4200-23</t>
  </si>
  <si>
    <t xml:space="preserve">   CMHC - Subsidies - 5 Units Feb 1/06</t>
  </si>
  <si>
    <t>4200-24</t>
  </si>
  <si>
    <t xml:space="preserve">   CMHC Subsidies - 5 Units May 07</t>
  </si>
  <si>
    <t>4200-25</t>
  </si>
  <si>
    <t xml:space="preserve">   CMHC Subsidies - 30Units May 07</t>
  </si>
  <si>
    <t>4200-26</t>
  </si>
  <si>
    <t xml:space="preserve">   CMHC Subsidies - 22 Units Feb 1, 2008</t>
  </si>
  <si>
    <t>4200-27</t>
  </si>
  <si>
    <t xml:space="preserve">   CMHC subsidies - 8 unit Sept 1, 2008</t>
  </si>
  <si>
    <t>4200-28</t>
  </si>
  <si>
    <t xml:space="preserve">   CMHC subsidies - 4 unit April 1, 2009</t>
  </si>
  <si>
    <t>4200-29</t>
  </si>
  <si>
    <t xml:space="preserve">   CMHC subsidies -  9 Units Dec 1,2009</t>
  </si>
  <si>
    <t>4200-30</t>
  </si>
  <si>
    <t xml:space="preserve">   CMHC subsidies -  7 Units 2010</t>
  </si>
  <si>
    <t>4200-31</t>
  </si>
  <si>
    <t xml:space="preserve">   CMHC Subsidies - 4 units Aug 1 2011</t>
  </si>
  <si>
    <t>4200-32</t>
  </si>
  <si>
    <t xml:space="preserve">   CMHC Subsidies - 4 unit Nov1, 2011 No.21</t>
  </si>
  <si>
    <t>4200-33</t>
  </si>
  <si>
    <t xml:space="preserve">   CMHC Subsidies -  10 units - August 1, 2012</t>
  </si>
  <si>
    <t>4200-34</t>
  </si>
  <si>
    <t xml:space="preserve">   CMHC Subsidies -  8 Units 2012-13</t>
  </si>
  <si>
    <t>4200-35</t>
  </si>
  <si>
    <t xml:space="preserve">   CMHC Subsidies -  3 Units 2013 - 14</t>
  </si>
  <si>
    <t>4200-36</t>
  </si>
  <si>
    <t xml:space="preserve">   CMHC Subsidies -  4 Units 2014-15</t>
  </si>
  <si>
    <t>4200-37</t>
  </si>
  <si>
    <t xml:space="preserve">   Revenue - Rent 6 unit elders</t>
  </si>
  <si>
    <t>4410-07</t>
  </si>
  <si>
    <t xml:space="preserve">   Revenue - Rent 8 unit Elders Sept1'08</t>
  </si>
  <si>
    <t>4410-28</t>
  </si>
  <si>
    <t>5251-99</t>
  </si>
  <si>
    <t xml:space="preserve">   O &amp; M 6 Plex</t>
  </si>
  <si>
    <t>5302-07</t>
  </si>
  <si>
    <t xml:space="preserve">   Hydro - 8 plex units</t>
  </si>
  <si>
    <t>5400-06</t>
  </si>
  <si>
    <t xml:space="preserve">   Hydro - 6 Elder units</t>
  </si>
  <si>
    <t>5400-07</t>
  </si>
  <si>
    <t xml:space="preserve">   Hydro - 8u elders</t>
  </si>
  <si>
    <t>5400-28</t>
  </si>
  <si>
    <t>5465-99</t>
  </si>
  <si>
    <t xml:space="preserve">   CMHC House Repairs (non qualifying)</t>
  </si>
  <si>
    <t>5504-99</t>
  </si>
  <si>
    <t xml:space="preserve">   Admin expense</t>
  </si>
  <si>
    <t>6400-99</t>
  </si>
  <si>
    <t xml:space="preserve">   Mortgage Pmts - 21 units 82/83</t>
  </si>
  <si>
    <t>6700-00</t>
  </si>
  <si>
    <t xml:space="preserve">   Mortgage Pmts - 5 units 84/85</t>
  </si>
  <si>
    <t>6700-02</t>
  </si>
  <si>
    <t xml:space="preserve">   Mortgage Pmts - 6 elder units</t>
  </si>
  <si>
    <t>6700-07</t>
  </si>
  <si>
    <t xml:space="preserve">   Mortgage Pmts - 15 units 95/96</t>
  </si>
  <si>
    <t>6700-09</t>
  </si>
  <si>
    <t xml:space="preserve">   Mortgage Pmts - 6 units 98/99</t>
  </si>
  <si>
    <t>6700-10</t>
  </si>
  <si>
    <t xml:space="preserve">   Loan Payment - Trailer</t>
  </si>
  <si>
    <t>6700-12</t>
  </si>
  <si>
    <t xml:space="preserve">   Mortgage Pmts - 10 unit 02/03</t>
  </si>
  <si>
    <t>6700-14</t>
  </si>
  <si>
    <t xml:space="preserve">   Mortgage Pmts - 4 units</t>
  </si>
  <si>
    <t>6700-16</t>
  </si>
  <si>
    <t xml:space="preserve">   Mortgage Pmts - 6 Units 02/03</t>
  </si>
  <si>
    <t>6700-17</t>
  </si>
  <si>
    <t xml:space="preserve">   Motgage Pmts - 1 Units 03/04</t>
  </si>
  <si>
    <t>6700-19</t>
  </si>
  <si>
    <t xml:space="preserve">   Mortgage Pmts - 2 Units 03/04</t>
  </si>
  <si>
    <t>6700-20</t>
  </si>
  <si>
    <t xml:space="preserve">   Mortgage Pmts - 3 Units 03/04</t>
  </si>
  <si>
    <t>6700-21</t>
  </si>
  <si>
    <t xml:space="preserve">   Mortgage Pmts - 6 A 04/05</t>
  </si>
  <si>
    <t>6700-22</t>
  </si>
  <si>
    <t xml:space="preserve">   Mortgage Pmts - 6 Units 1 Nov 05</t>
  </si>
  <si>
    <t>6700-23</t>
  </si>
  <si>
    <t xml:space="preserve">   Mortgage Pmts - 5 Units Feb1/06</t>
  </si>
  <si>
    <t>6700-24</t>
  </si>
  <si>
    <t xml:space="preserve">   Mortgage Pmts - 5 Units May 1, 2007</t>
  </si>
  <si>
    <t>6700-25</t>
  </si>
  <si>
    <t xml:space="preserve">   Mortgage Pmts - 30 Units May 1, 2007</t>
  </si>
  <si>
    <t>6700-26</t>
  </si>
  <si>
    <t xml:space="preserve">   Mortgage Pmts - 22 Units Feb 1, 2008</t>
  </si>
  <si>
    <t>6700-27</t>
  </si>
  <si>
    <t xml:space="preserve">   Mortgage Pmts - 8 unit Sept 1, 2008</t>
  </si>
  <si>
    <t>6700-28</t>
  </si>
  <si>
    <t xml:space="preserve">   Mortgage Pmts - 9 Units</t>
  </si>
  <si>
    <t>6700-29</t>
  </si>
  <si>
    <t xml:space="preserve">   Mortgage Pmts - 9 units Nov 1'09</t>
  </si>
  <si>
    <t>6700-30</t>
  </si>
  <si>
    <t xml:space="preserve">   Mortgage Pmts - 7 Units 2010</t>
  </si>
  <si>
    <t>6700-31</t>
  </si>
  <si>
    <t xml:space="preserve">   Mortgage Pmts - 4 Units Aug 1 2011</t>
  </si>
  <si>
    <t>6700-32</t>
  </si>
  <si>
    <t xml:space="preserve">   Mortgage Pmts - 4 Units Nov 1 2011</t>
  </si>
  <si>
    <t>6700-33</t>
  </si>
  <si>
    <t xml:space="preserve">   Mortgage Pmts -  10 units - August 1, 2012</t>
  </si>
  <si>
    <t>6700-34</t>
  </si>
  <si>
    <t xml:space="preserve">   Mortgage Pmts -  8 Units 2013/13</t>
  </si>
  <si>
    <t>6700-35</t>
  </si>
  <si>
    <t xml:space="preserve">   Mortgage Pmts -  3 Units 2013/14</t>
  </si>
  <si>
    <t>6700-36</t>
  </si>
  <si>
    <t xml:space="preserve">   Mortgage Pmts - 4 Units 2014/15</t>
  </si>
  <si>
    <t>6700-37</t>
  </si>
  <si>
    <t xml:space="preserve">   Audit fees</t>
  </si>
  <si>
    <t>6801-99</t>
  </si>
  <si>
    <t xml:space="preserve">   Mtce. - 55 plus</t>
  </si>
  <si>
    <t>7000-01</t>
  </si>
  <si>
    <t>New account - Gaming Commission</t>
  </si>
  <si>
    <t>Per Fund Distributions</t>
  </si>
  <si>
    <t>OPERATING BUDGET</t>
  </si>
  <si>
    <t>Notations</t>
  </si>
  <si>
    <r>
      <rPr>
        <b/>
        <u/>
        <sz val="12"/>
        <rFont val="Arial"/>
        <family val="2"/>
      </rPr>
      <t>Revenue</t>
    </r>
    <r>
      <rPr>
        <b/>
        <sz val="12"/>
        <rFont val="Arial"/>
        <family val="2"/>
      </rPr>
      <t>:</t>
    </r>
  </si>
  <si>
    <t>AANDC Funding</t>
  </si>
  <si>
    <t>Includes 2% increase</t>
  </si>
  <si>
    <t>Resident Contribution</t>
  </si>
  <si>
    <t>$32 x 25 residents x 365 days</t>
  </si>
  <si>
    <t>45 staff x $20 x 12 months</t>
  </si>
  <si>
    <t>Medical Transportation</t>
  </si>
  <si>
    <t>Trailer Rent</t>
  </si>
  <si>
    <t>$400 x 2 nurses x 2 trailers</t>
  </si>
  <si>
    <t>Total Revenue</t>
  </si>
  <si>
    <r>
      <rPr>
        <b/>
        <u/>
        <sz val="12"/>
        <rFont val="Arial"/>
        <family val="2"/>
      </rPr>
      <t>Expenses</t>
    </r>
    <r>
      <rPr>
        <b/>
        <sz val="12"/>
        <rFont val="Arial"/>
        <family val="2"/>
      </rPr>
      <t>:</t>
    </r>
  </si>
  <si>
    <t>Base Salary &amp; Replacement</t>
  </si>
  <si>
    <t>Employment Insurance</t>
  </si>
  <si>
    <t>Private Pension</t>
  </si>
  <si>
    <t>Group Health Insurance</t>
  </si>
  <si>
    <t>Canada Pension Program</t>
  </si>
  <si>
    <t>1.5% (some only)</t>
  </si>
  <si>
    <t>Staff Travel</t>
  </si>
  <si>
    <t>Medical Travel</t>
  </si>
  <si>
    <t xml:space="preserve">Staff Training &amp; Development </t>
  </si>
  <si>
    <t>Legal, Auditors, Specialists</t>
  </si>
  <si>
    <t>Building Insurance</t>
  </si>
  <si>
    <t>Postage &amp; Freight</t>
  </si>
  <si>
    <t>Office Furniture &amp; Supplies</t>
  </si>
  <si>
    <t>For all departments</t>
  </si>
  <si>
    <t>Telecommunications</t>
  </si>
  <si>
    <t>Telephone, copier, internet, fax</t>
  </si>
  <si>
    <t>Subscriptions</t>
  </si>
  <si>
    <t>Nursing</t>
  </si>
  <si>
    <t>Bank Charges &amp; Interest</t>
  </si>
  <si>
    <t>Board of Directors - Honorarium</t>
  </si>
  <si>
    <t>Administrative Other Activities</t>
  </si>
  <si>
    <t>Special events</t>
  </si>
  <si>
    <t>Administrative Fees</t>
  </si>
  <si>
    <t xml:space="preserve"> Nursing Care Supplies</t>
  </si>
  <si>
    <t xml:space="preserve">Care supplies not covered </t>
  </si>
  <si>
    <t xml:space="preserve"> Activity Supplies</t>
  </si>
  <si>
    <t xml:space="preserve"> Client Services - Food</t>
  </si>
  <si>
    <t xml:space="preserve">Increase in food costs </t>
  </si>
  <si>
    <t xml:space="preserve"> Dietary Equipment &amp; Supplies</t>
  </si>
  <si>
    <t>Minor equipment &amp; supplies</t>
  </si>
  <si>
    <t xml:space="preserve"> Housekeeping Supplies</t>
  </si>
  <si>
    <t xml:space="preserve"> Laundry Supplies</t>
  </si>
  <si>
    <t>Vehicles</t>
  </si>
  <si>
    <t>Vehicle insurance &amp; repairs</t>
  </si>
  <si>
    <t>Buildings &amp; Grounds</t>
  </si>
  <si>
    <t>Maintenance and repairs</t>
  </si>
  <si>
    <t>Equipment &amp; Furnishings</t>
  </si>
  <si>
    <t>Major equipment replacement</t>
  </si>
  <si>
    <t>Hydro</t>
  </si>
  <si>
    <t>Reserve for Major Repairs</t>
  </si>
  <si>
    <t>Replacment Reserve</t>
  </si>
  <si>
    <t xml:space="preserve"> Total Expenses</t>
  </si>
  <si>
    <t xml:space="preserve">  Variance</t>
  </si>
  <si>
    <t xml:space="preserve">   Mortgage interest</t>
  </si>
  <si>
    <t xml:space="preserve">   Replacement reserve</t>
  </si>
  <si>
    <t xml:space="preserve">   User fees</t>
  </si>
  <si>
    <t xml:space="preserve">   Amortization</t>
  </si>
  <si>
    <t xml:space="preserve">   Revenue - Rental income and shelter</t>
  </si>
  <si>
    <t>Per Entity Summary</t>
  </si>
  <si>
    <t xml:space="preserve">   Revenue - Tobacco Tax Rebate</t>
  </si>
  <si>
    <t>AANDC</t>
  </si>
  <si>
    <t>Salary</t>
  </si>
  <si>
    <t>Executive Director</t>
  </si>
  <si>
    <t>Resident Support Worker</t>
  </si>
  <si>
    <t>Cook</t>
  </si>
  <si>
    <t>Maintenance</t>
  </si>
  <si>
    <t>part-time</t>
  </si>
  <si>
    <t>Team Leader</t>
  </si>
  <si>
    <t>Program Facilitator</t>
  </si>
  <si>
    <t>Male Counsellor</t>
  </si>
  <si>
    <t>EI Expense</t>
  </si>
  <si>
    <t>Pension Expense</t>
  </si>
  <si>
    <t>Group Insurance Expense</t>
  </si>
  <si>
    <t>Training &amp; Development</t>
  </si>
  <si>
    <t>Travel - Training &amp; Development</t>
  </si>
  <si>
    <t>Bank Charges</t>
  </si>
  <si>
    <t>Equipment &amp; Furniture</t>
  </si>
  <si>
    <t>Subscription/Membership Fees</t>
  </si>
  <si>
    <t>Postage</t>
  </si>
  <si>
    <t>Office Supplies</t>
  </si>
  <si>
    <t>Consultant/Professional Fees</t>
  </si>
  <si>
    <t>Building &amp; Grounds</t>
  </si>
  <si>
    <t>Motor Vehicle Expense</t>
  </si>
  <si>
    <t>Equipment Rental</t>
  </si>
  <si>
    <t>Resource Material - Women</t>
  </si>
  <si>
    <t>Resource Material - Children</t>
  </si>
  <si>
    <t>Honorarium -Program Elder/Guest Speaker</t>
  </si>
  <si>
    <t>Drug Testing</t>
  </si>
  <si>
    <t>Miscellaneous</t>
  </si>
  <si>
    <t>Food</t>
  </si>
  <si>
    <t xml:space="preserve">Monthly Accounting Fee  </t>
  </si>
  <si>
    <t>Total Expenses</t>
  </si>
  <si>
    <t>Net income</t>
  </si>
  <si>
    <t xml:space="preserve">   MB Hydro - Powersmart project</t>
  </si>
  <si>
    <t xml:space="preserve">   Revenue - Prov of MB</t>
  </si>
  <si>
    <t>FORECASTED STATEMENT OF REVENUE AND EXPENDITURES</t>
  </si>
  <si>
    <t>CONSOLIDATED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</si>
  <si>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</si>
  <si>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</si>
  <si>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</si>
  <si>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</si>
  <si>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</si>
  <si>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</si>
  <si>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</si>
  <si>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</si>
  <si>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</si>
  <si>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</si>
  <si>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</si>
  <si>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</si>
  <si>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RECEIPTS</t>
  </si>
  <si>
    <t xml:space="preserve">  Car Wash/Laundry</t>
  </si>
  <si>
    <t xml:space="preserve">  Motel</t>
  </si>
  <si>
    <t xml:space="preserve">  Internet</t>
  </si>
  <si>
    <t>EXPENDITURES</t>
  </si>
  <si>
    <t>SURPLUS(DEFICIT)</t>
  </si>
  <si>
    <t>ACCUMULATED SURPLUS</t>
  </si>
  <si>
    <r>
      <t xml:space="preserve">    </t>
    </r>
    <r>
      <rPr>
        <b/>
        <sz val="10"/>
        <rFont val="Arial"/>
        <family val="2"/>
      </rPr>
      <t>(DEFICIT)</t>
    </r>
  </si>
  <si>
    <t xml:space="preserve">   Bingo Manager</t>
  </si>
  <si>
    <t>BUDGET SUMMARY</t>
  </si>
  <si>
    <t>CA program reference</t>
  </si>
  <si>
    <t>hpm + admin fee</t>
  </si>
  <si>
    <t>nihb-trans/SET Funding</t>
  </si>
  <si>
    <t>chpi/ip</t>
  </si>
  <si>
    <t>Community Health Representative</t>
  </si>
  <si>
    <t>NADAP</t>
  </si>
  <si>
    <t>nadap+bhc/sap</t>
  </si>
  <si>
    <t>Mental Health</t>
  </si>
  <si>
    <t>bhc/mh</t>
  </si>
  <si>
    <t>Community Wellness</t>
  </si>
  <si>
    <t>Home Care</t>
  </si>
  <si>
    <t>fnihcc</t>
  </si>
  <si>
    <t>Homemaking</t>
  </si>
  <si>
    <t>aandc program</t>
  </si>
  <si>
    <t>Diabetes</t>
  </si>
  <si>
    <t>adi</t>
  </si>
  <si>
    <t>Prenatal</t>
  </si>
  <si>
    <t>cpnp</t>
  </si>
  <si>
    <t>Brighter Futures</t>
  </si>
  <si>
    <t>bf</t>
  </si>
  <si>
    <t xml:space="preserve">Youth Support </t>
  </si>
  <si>
    <t>HIV/AIDS</t>
  </si>
  <si>
    <t>hiv/aids</t>
  </si>
  <si>
    <t>Environmental Health</t>
  </si>
  <si>
    <t>eph/dwsp/SET FUNDING</t>
  </si>
  <si>
    <t>Operations and Maintenance</t>
  </si>
  <si>
    <t>cf-o&amp;m</t>
  </si>
  <si>
    <t xml:space="preserve">Accreditation </t>
  </si>
  <si>
    <t>acc</t>
  </si>
  <si>
    <t>REVENUE SUMMARY</t>
  </si>
  <si>
    <t>Healthy Child Development</t>
  </si>
  <si>
    <t xml:space="preserve">Prenatal </t>
  </si>
  <si>
    <t>Subtotal</t>
  </si>
  <si>
    <t>Mental Wellness</t>
  </si>
  <si>
    <t>Youth Support</t>
  </si>
  <si>
    <t xml:space="preserve">bhc/sap &amp; nnadap </t>
  </si>
  <si>
    <t>Healthy Living</t>
  </si>
  <si>
    <t>Community Health Rep</t>
  </si>
  <si>
    <t>Communicable Disease Control &amp; Mngmt</t>
  </si>
  <si>
    <t>eph/dwsp</t>
  </si>
  <si>
    <t>Home and Community Care</t>
  </si>
  <si>
    <t xml:space="preserve">Homemaking </t>
  </si>
  <si>
    <t>aandc funding</t>
  </si>
  <si>
    <t>Health Planning &amp; Quality Mngmt</t>
  </si>
  <si>
    <t xml:space="preserve">Administration </t>
  </si>
  <si>
    <t>hpm</t>
  </si>
  <si>
    <t>Supplementary Health Benefits</t>
  </si>
  <si>
    <t xml:space="preserve">Medical Transportation </t>
  </si>
  <si>
    <t>nihb-mt</t>
  </si>
  <si>
    <t>Health Facilities</t>
  </si>
  <si>
    <t>Operations &amp; Maintenance</t>
  </si>
  <si>
    <t>Program Expenditures Summary</t>
  </si>
  <si>
    <t>Salary &amp; Benefits</t>
  </si>
  <si>
    <t>Program Costs</t>
  </si>
  <si>
    <t>Health Planning &amp; Quality Management</t>
  </si>
  <si>
    <t>TOTAL Expenditures</t>
  </si>
  <si>
    <t>Healthy Child Development Cluster</t>
  </si>
  <si>
    <t>CPNP</t>
  </si>
  <si>
    <t>FTE's</t>
  </si>
  <si>
    <t>Diabetes/CPNP Support Worker</t>
  </si>
  <si>
    <r>
      <t>Benefits @ 12</t>
    </r>
    <r>
      <rPr>
        <strike/>
        <sz val="11"/>
        <rFont val="Calibri"/>
        <family val="2"/>
        <scheme val="minor"/>
      </rPr>
      <t>%</t>
    </r>
  </si>
  <si>
    <t>Program Activities</t>
  </si>
  <si>
    <t>Administration Fees</t>
  </si>
  <si>
    <t>flat rate</t>
  </si>
  <si>
    <t>Staff Training &amp; Development</t>
  </si>
  <si>
    <t>Mental Wellness Cluster</t>
  </si>
  <si>
    <t>Youth Support Worker</t>
  </si>
  <si>
    <t>Benefits @ 12%</t>
  </si>
  <si>
    <t>Mental Health Worker</t>
  </si>
  <si>
    <t>Resource Materials</t>
  </si>
  <si>
    <t>Hardware/Software</t>
  </si>
  <si>
    <t>Community Wellness Program</t>
  </si>
  <si>
    <t>Commuity Wellness Worker</t>
  </si>
  <si>
    <t>Sub-Total</t>
  </si>
  <si>
    <t xml:space="preserve">Benefits @ </t>
  </si>
  <si>
    <t>Resource Material</t>
  </si>
  <si>
    <t>Direct Services to Clients</t>
  </si>
  <si>
    <t>NNADAP</t>
  </si>
  <si>
    <t>NNADAP Worker</t>
  </si>
  <si>
    <t>Direct Service to Clients</t>
  </si>
  <si>
    <t>Healthy Living Cluster</t>
  </si>
  <si>
    <t>Staff Development</t>
  </si>
  <si>
    <t>Total</t>
  </si>
  <si>
    <t>Clinic Nurse</t>
  </si>
  <si>
    <t>Community Health Nurse</t>
  </si>
  <si>
    <t>Nurse in Charge</t>
  </si>
  <si>
    <t>Data Clerk</t>
  </si>
  <si>
    <t>Clinical Support Clerk</t>
  </si>
  <si>
    <t>Benefits @ 12</t>
  </si>
  <si>
    <t>Administration Fee</t>
  </si>
  <si>
    <t>Community Health Rep/Health Ed. Nurse</t>
  </si>
  <si>
    <t>Communicable Disease Control &amp; Management Cluster</t>
  </si>
  <si>
    <t>HIV/Aids</t>
  </si>
  <si>
    <t>Environmental Health Cluster</t>
  </si>
  <si>
    <t xml:space="preserve">Environmental Health </t>
  </si>
  <si>
    <t>Environmental Health Worker</t>
  </si>
  <si>
    <t>Home and Community Care Cluster</t>
  </si>
  <si>
    <t>Home Care Nurse/Coornidator</t>
  </si>
  <si>
    <t>Home Care Nurse</t>
  </si>
  <si>
    <t>Health Care Aide</t>
  </si>
  <si>
    <t>Health Care Aide/Dialysis Escort)</t>
  </si>
  <si>
    <t>Program Activites</t>
  </si>
  <si>
    <t>Direct Services - Respite</t>
  </si>
  <si>
    <t>Direct Services - Lifeline</t>
  </si>
  <si>
    <t>Direct Services - Footcare</t>
  </si>
  <si>
    <t>Homemaker</t>
  </si>
  <si>
    <t>Home Care Maintenance Worker</t>
  </si>
  <si>
    <t>Benefits @ 13%</t>
  </si>
  <si>
    <t>Repairs &amp; Maintenance</t>
  </si>
  <si>
    <t>Health Planning &amp; Quality Management Cluster</t>
  </si>
  <si>
    <t>Health Director</t>
  </si>
  <si>
    <t xml:space="preserve">Finance Administrator </t>
  </si>
  <si>
    <t>Hume Resource</t>
  </si>
  <si>
    <t>Direcot Assistant/Accreditation Coordinator</t>
  </si>
  <si>
    <t xml:space="preserve">Board Travel/Honararium </t>
  </si>
  <si>
    <t>Bank/Miscellaneous Service Charges</t>
  </si>
  <si>
    <t>Internet/Telephone</t>
  </si>
  <si>
    <t>Professional Fees - IT</t>
  </si>
  <si>
    <t>Professional Fees - Audit</t>
  </si>
  <si>
    <t xml:space="preserve">Postage </t>
  </si>
  <si>
    <t xml:space="preserve">Printing </t>
  </si>
  <si>
    <t>Evaluation Report/Workplan</t>
  </si>
  <si>
    <t>Direct Services - Compassionate</t>
  </si>
  <si>
    <t>Equipment/Furniture</t>
  </si>
  <si>
    <t>MAR Funding</t>
  </si>
  <si>
    <t>Staff Retreat/Incentive</t>
  </si>
  <si>
    <t xml:space="preserve">Accredication </t>
  </si>
  <si>
    <t>Accredication Coordinator/Director Assistant</t>
  </si>
  <si>
    <t>Accredication Invoice</t>
  </si>
  <si>
    <t>Meeting Costs</t>
  </si>
  <si>
    <t>Supplementary Health Benefits Cluster</t>
  </si>
  <si>
    <t xml:space="preserve">Medical Transporation </t>
  </si>
  <si>
    <t>Med Trans Coordinator</t>
  </si>
  <si>
    <t>Med Trans Clerk</t>
  </si>
  <si>
    <t>Medical Driver</t>
  </si>
  <si>
    <t>Casual Drivers</t>
  </si>
  <si>
    <t xml:space="preserve">Benefits @  </t>
  </si>
  <si>
    <t>Gas</t>
  </si>
  <si>
    <t>Meals</t>
  </si>
  <si>
    <t>Accomodations</t>
  </si>
  <si>
    <t xml:space="preserve">Vehicle R &amp; M </t>
  </si>
  <si>
    <t>Mileage</t>
  </si>
  <si>
    <t xml:space="preserve">Total </t>
  </si>
  <si>
    <t>Health Facilities Cluster</t>
  </si>
  <si>
    <t>Janitor</t>
  </si>
  <si>
    <t xml:space="preserve">subtotal </t>
  </si>
  <si>
    <t>Utilities</t>
  </si>
  <si>
    <t>Repair &amp; Maintenance</t>
  </si>
  <si>
    <t xml:space="preserve">Staff Travel </t>
  </si>
  <si>
    <t>Not included in Health Budget</t>
  </si>
  <si>
    <t>Allocation from CMHC Replacement Reserve</t>
  </si>
  <si>
    <t xml:space="preserve">Capital </t>
  </si>
  <si>
    <t xml:space="preserve">   Revenue - Emerg. Flood</t>
  </si>
  <si>
    <t xml:space="preserve">   Long term employee payment</t>
  </si>
  <si>
    <t>Turn off lights in winter</t>
  </si>
  <si>
    <t>Janitorial</t>
  </si>
  <si>
    <t>Transfer to Dept 11</t>
  </si>
  <si>
    <t>5150-22</t>
  </si>
  <si>
    <t>DEPT. 11 SPORTS &amp; RECREATION</t>
  </si>
  <si>
    <t>6050-13</t>
  </si>
  <si>
    <t xml:space="preserve">   National Aboriginal Games</t>
  </si>
  <si>
    <t>NEW ACCOUNT - Rotate every two years</t>
  </si>
  <si>
    <t>$1500/mth</t>
  </si>
  <si>
    <t>2017/2018</t>
  </si>
  <si>
    <t xml:space="preserve">   O&amp;M Lagoon Station</t>
  </si>
  <si>
    <t xml:space="preserve">     Salaries - Land Coordinator</t>
  </si>
  <si>
    <t>5450-40</t>
  </si>
  <si>
    <t>4 Unit CMHC 2016</t>
  </si>
  <si>
    <t xml:space="preserve">   Construction Contingency - 4U</t>
  </si>
  <si>
    <t xml:space="preserve">   FN Builders Contract</t>
  </si>
  <si>
    <t>5009-55</t>
  </si>
  <si>
    <t>5320-55</t>
  </si>
  <si>
    <t>5325-55</t>
  </si>
  <si>
    <t>5330-55</t>
  </si>
  <si>
    <t>5335-55</t>
  </si>
  <si>
    <t>BUDGET 2017-2018</t>
  </si>
  <si>
    <t>Cash Flow Budget Projection 2018</t>
  </si>
  <si>
    <t>2 FT, 1 PT employees</t>
  </si>
  <si>
    <t>Housing authority</t>
  </si>
  <si>
    <t>?</t>
  </si>
  <si>
    <t xml:space="preserve">   FN Market Housing Fund</t>
  </si>
  <si>
    <t>7 units</t>
  </si>
  <si>
    <t>NEW ACCOUNT - Center of Excellence</t>
  </si>
  <si>
    <t>Three houses</t>
  </si>
  <si>
    <t>2017/18</t>
  </si>
  <si>
    <t>Jordans Principle</t>
  </si>
  <si>
    <t>jp-cfi/SET FUNDING</t>
  </si>
  <si>
    <t>jp-cfi</t>
  </si>
  <si>
    <t xml:space="preserve">Jordans Principle </t>
  </si>
  <si>
    <t xml:space="preserve">Case Manager/Project Coordinator </t>
  </si>
  <si>
    <t xml:space="preserve">Education Specialist Coordinator </t>
  </si>
  <si>
    <t>Early Childood Assistant x 6</t>
  </si>
  <si>
    <t>Respite Care Worker x 8</t>
  </si>
  <si>
    <t>Admin Assistant/Reception/Data Entry</t>
  </si>
  <si>
    <t>benefits @</t>
  </si>
  <si>
    <t xml:space="preserve">Staff Training </t>
  </si>
  <si>
    <t xml:space="preserve">Bus Insurance </t>
  </si>
  <si>
    <t>bus purchased 16/17</t>
  </si>
  <si>
    <t>Program Activites - Supplies &amp; Activities</t>
  </si>
  <si>
    <t xml:space="preserve">Rent </t>
  </si>
  <si>
    <t xml:space="preserve">Subtotal </t>
  </si>
  <si>
    <t>2017-2018</t>
  </si>
  <si>
    <t>2015-2016 Actual</t>
  </si>
  <si>
    <t>ICFS</t>
  </si>
  <si>
    <t xml:space="preserve">Language &amp; Culture </t>
  </si>
  <si>
    <t>Rent</t>
  </si>
  <si>
    <t>Human Resources</t>
  </si>
  <si>
    <t xml:space="preserve">Early Years </t>
  </si>
  <si>
    <t>Language &amp; Culture</t>
  </si>
  <si>
    <t>Administration (3)</t>
  </si>
  <si>
    <t>Instruction (16)</t>
  </si>
  <si>
    <t xml:space="preserve">Substitutes </t>
  </si>
  <si>
    <t>Technology</t>
  </si>
  <si>
    <t>Instruction (12)</t>
  </si>
  <si>
    <t>Assistant</t>
  </si>
  <si>
    <t>Outdoor Ed Instructor</t>
  </si>
  <si>
    <t>Elder Honorarium</t>
  </si>
  <si>
    <t>Resource (2)</t>
  </si>
  <si>
    <t>Speech &amp; Language (2)</t>
  </si>
  <si>
    <t>Educational Assistants (17)</t>
  </si>
  <si>
    <t>Student Support (3)</t>
  </si>
  <si>
    <t>Psychologist ($960 X 32)</t>
  </si>
  <si>
    <t>Speech &amp; Language Pathologist ($960 X 32)</t>
  </si>
  <si>
    <t xml:space="preserve">Resource </t>
  </si>
  <si>
    <t>Salaries:  Supervisor &amp; Drivers</t>
  </si>
  <si>
    <t xml:space="preserve">Salaries </t>
  </si>
  <si>
    <t>Substitutes</t>
  </si>
  <si>
    <t>Lease ($3902 x 12)</t>
  </si>
  <si>
    <t>Depreciation - Bldgs &amp; Renovations</t>
  </si>
  <si>
    <t>Hydro - VJK Centre</t>
  </si>
  <si>
    <t xml:space="preserve">Registration </t>
  </si>
  <si>
    <t>Community Involvement</t>
  </si>
  <si>
    <t>Spring/Summer Session (TDB)</t>
  </si>
  <si>
    <t>Fall/Winter Continuing (TBD)</t>
  </si>
  <si>
    <t>Grade 12 Grads (TBD)</t>
  </si>
  <si>
    <t>New</t>
  </si>
  <si>
    <t>UCN Program</t>
  </si>
  <si>
    <t>DRAFT Budget (2017/2018)</t>
  </si>
  <si>
    <t>Meals Revenue</t>
  </si>
  <si>
    <t>$94 x 4 x 12 + $960 meals</t>
  </si>
  <si>
    <t>Residents events</t>
  </si>
  <si>
    <t>Sundry, miscellaneous</t>
  </si>
  <si>
    <t>Other Revenue</t>
  </si>
  <si>
    <t>Travel, meals (residents, escort)</t>
  </si>
  <si>
    <t>($300 x 5 x 12 + 5,000 for travel)</t>
  </si>
  <si>
    <t>Therapy, recreational</t>
  </si>
  <si>
    <t>Operating Shortfall</t>
  </si>
  <si>
    <t>$11,300 Building repairs</t>
  </si>
  <si>
    <t>FOR THE YEAR ENDED MARCH 31, 2018</t>
  </si>
  <si>
    <t>Projected operating surplus(deficit), March 31 2018</t>
  </si>
  <si>
    <t xml:space="preserve">Revenue </t>
  </si>
  <si>
    <t>Exp</t>
  </si>
  <si>
    <t>2018 BUD</t>
  </si>
  <si>
    <t>April 1/17</t>
  </si>
  <si>
    <t>Cemetary/Shed</t>
  </si>
  <si>
    <t>Zamboni</t>
  </si>
  <si>
    <t>Case Dozer</t>
  </si>
  <si>
    <t>Dept Allocation</t>
  </si>
  <si>
    <t>Dept 58</t>
  </si>
  <si>
    <t>Dept 1</t>
  </si>
  <si>
    <t>Dept 12</t>
  </si>
  <si>
    <t>Dozer</t>
  </si>
  <si>
    <t>Less: Principal loan payments</t>
  </si>
  <si>
    <t>Add: Amortization</t>
  </si>
  <si>
    <t>Room available</t>
  </si>
  <si>
    <t>Plug</t>
  </si>
  <si>
    <t>Reallocated from Sponsorship Committee</t>
  </si>
  <si>
    <t xml:space="preserve">   Salary - Recycling Coordinator</t>
  </si>
  <si>
    <t>NEW ACCOUNT</t>
  </si>
  <si>
    <t xml:space="preserve">   Revenue</t>
  </si>
  <si>
    <t>Police vehicle</t>
  </si>
  <si>
    <t>Dept 5</t>
  </si>
  <si>
    <t xml:space="preserve">   Interest - Vehicle</t>
  </si>
  <si>
    <t>Based on 9 units</t>
  </si>
  <si>
    <t xml:space="preserve">   Salaries - Arena Manager</t>
  </si>
  <si>
    <t xml:space="preserve">   Salary - Recreation Coordinator</t>
  </si>
  <si>
    <t xml:space="preserve">   Allocation to Sponsorship Committee</t>
  </si>
  <si>
    <t>INAC REVENUE 2017/2018</t>
  </si>
  <si>
    <t>R.S.W.</t>
  </si>
  <si>
    <t>XX FIRST NATION</t>
  </si>
  <si>
    <t>Capital - Facility O&amp;M</t>
  </si>
  <si>
    <t>INAC REVENUE AND ALLOCATIONS</t>
  </si>
  <si>
    <t>Does not include ED revenue</t>
  </si>
  <si>
    <t>ED revenue</t>
  </si>
  <si>
    <t>Less: Band Department Allocations from XX</t>
  </si>
  <si>
    <t>XX NATION</t>
  </si>
  <si>
    <t>ED</t>
  </si>
  <si>
    <t>XX First Nation</t>
  </si>
  <si>
    <t>National FN Gathering</t>
  </si>
  <si>
    <t xml:space="preserve">   Tobacco tax expense - Store</t>
  </si>
  <si>
    <t xml:space="preserve">   Tobacco tax expense - Community entrepreneur</t>
  </si>
  <si>
    <t xml:space="preserve">   FN contribution to AANDC projects</t>
  </si>
  <si>
    <t xml:space="preserve">   National FN Gathering</t>
  </si>
  <si>
    <t xml:space="preserve">   Travel - Councillor A</t>
  </si>
  <si>
    <t xml:space="preserve">   Travel - Councillor B</t>
  </si>
  <si>
    <t xml:space="preserve">   Travel - Councillor C</t>
  </si>
  <si>
    <t xml:space="preserve">   Travel - Councillor D</t>
  </si>
  <si>
    <t xml:space="preserve">   Travel - Councillor E</t>
  </si>
  <si>
    <t xml:space="preserve">   Travel - Councillor F</t>
  </si>
  <si>
    <t xml:space="preserve">   Revenue - FN Contribution</t>
  </si>
  <si>
    <t xml:space="preserve">   Revenue - Youth Activities</t>
  </si>
  <si>
    <t xml:space="preserve">   Contributions - Minor hockey</t>
  </si>
  <si>
    <t xml:space="preserve">   RRAP Equity</t>
  </si>
  <si>
    <t xml:space="preserve">   Equity Hasi</t>
  </si>
  <si>
    <t xml:space="preserve">   Contribution from FN</t>
  </si>
  <si>
    <t xml:space="preserve">   Salaries-Admin  </t>
  </si>
  <si>
    <t xml:space="preserve">   E.I. Employer Share- </t>
  </si>
  <si>
    <t xml:space="preserve">   R.P.P. Employer Share- </t>
  </si>
  <si>
    <t xml:space="preserve">   Grp Ins Employer Share- </t>
  </si>
  <si>
    <t xml:space="preserve">   Audit- </t>
  </si>
  <si>
    <t xml:space="preserve">   Supplies- </t>
  </si>
  <si>
    <t xml:space="preserve">   Computer Training- </t>
  </si>
  <si>
    <t xml:space="preserve">   Travel- </t>
  </si>
  <si>
    <t xml:space="preserve">   Mobility Assistance- </t>
  </si>
  <si>
    <t xml:space="preserve">     Professional Development</t>
  </si>
  <si>
    <t xml:space="preserve">   O &amp; M -  </t>
  </si>
  <si>
    <t xml:space="preserve">   Hydro -  </t>
  </si>
  <si>
    <t xml:space="preserve">   Admin Fee - </t>
  </si>
  <si>
    <t xml:space="preserve"> Insurance</t>
  </si>
  <si>
    <t>Office Equipment</t>
  </si>
  <si>
    <t xml:space="preserve">   R.P.P. - Employer Share</t>
  </si>
  <si>
    <t xml:space="preserve">   subsidy</t>
  </si>
  <si>
    <t xml:space="preserve">    Driveways</t>
  </si>
  <si>
    <t>First Nation**</t>
  </si>
  <si>
    <t>8 students</t>
  </si>
  <si>
    <t xml:space="preserve"> Instructor</t>
  </si>
  <si>
    <t xml:space="preserve">   Revenue - Contribution</t>
  </si>
  <si>
    <t>XX FN NATION</t>
  </si>
  <si>
    <t>XX First Nation Housing</t>
  </si>
  <si>
    <t xml:space="preserve"> FN Contribution</t>
  </si>
  <si>
    <t>Healing Centre Inc. Budget 2017-2018</t>
  </si>
  <si>
    <t xml:space="preserve">  ED</t>
  </si>
  <si>
    <t>Cottage</t>
  </si>
  <si>
    <t>Outfitters</t>
  </si>
  <si>
    <t xml:space="preserve">  CD</t>
  </si>
  <si>
    <t xml:space="preserve">  Outfitters</t>
  </si>
  <si>
    <t xml:space="preserve">  Cottage</t>
  </si>
  <si>
    <t xml:space="preserve">  Grocery</t>
  </si>
  <si>
    <t xml:space="preserve"> Grocery</t>
  </si>
  <si>
    <t>Cabins</t>
  </si>
  <si>
    <t>NET FN</t>
  </si>
  <si>
    <t xml:space="preserve">   DM Contract</t>
  </si>
  <si>
    <t xml:space="preserve">   Contribution to Fisheries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</si>
</sst>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mmmm\ d\,\ yyyy"/>
    <numFmt numFmtId="168" formatCode="_(* #,##0_);_(* \(#,##0\);_(* &quot;-&quot;??_);_(@_)"/>
    <numFmt numFmtId="169" formatCode="[$-409]mmmm\ d\,\ yyyy;@"/>
    <numFmt numFmtId="170" formatCode="s\t\a\nd\a\rd"/>
    <numFmt numFmtId="171" formatCode="[&gt;=0]#,##0.00;\(#,##0.00\)"/>
    <numFmt numFmtId="172" formatCode="#,##0.00;[Red]\(#,##0.00\)"/>
    <numFmt numFmtId="173" formatCode="_-&quot;$&quot;* #,##0_-;\-&quot;$&quot;* #,##0_-;_-&quot;$&quot;* &quot;-&quot;??_-;_-@_-"/>
    <numFmt numFmtId="174" formatCode="#,##0;[Red]\(#,##0\)"/>
    <numFmt numFmtId="175" formatCode="0.0"/>
    <numFmt numFmtId="176" formatCode="_-* #,##0_-;\-* #,##0_-;_-* &quot;-&quot;??_-;_-@_-"/>
    <numFmt numFmtId="177" formatCode="0.0%"/>
    <numFmt numFmtId="178" formatCode="_(* #,##0.000_);_(* \(#,##0.000\);_(* &quot;-&quot;??_);_(@_)"/>
  </numFmts>
  <fonts count="32">
    <font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News Gothic MT"/>
      <family val="2"/>
    </font>
    <font>
      <sz val="12"/>
      <name val="News Gothic MT"/>
      <family val="2"/>
    </font>
    <font>
      <b/>
      <u/>
      <sz val="12"/>
      <name val="News Gothic MT"/>
      <family val="2"/>
    </font>
    <font>
      <b/>
      <sz val="10"/>
      <name val="Arial"/>
      <family val="2"/>
    </font>
    <font>
      <sz val="12"/>
      <name val="News Gothic MT"/>
    </font>
    <font>
      <u/>
      <sz val="12"/>
      <name val="Arial"/>
      <family val="2"/>
    </font>
    <font>
      <b/>
      <u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</font>
    <font>
      <b/>
      <sz val="10"/>
      <name val="MS Sans Serif"/>
    </font>
    <font>
      <b/>
      <sz val="10"/>
      <color rgb="FFFF0000"/>
      <name val="Arial"/>
      <family val="2"/>
    </font>
    <font>
      <sz val="10"/>
      <name val="MS Sans Serif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i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ck">
        <color indexed="28"/>
      </top>
      <bottom/>
      <diagonal/>
    </border>
    <border>
      <left/>
      <right/>
      <top/>
      <bottom style="thick">
        <color indexed="28"/>
      </bottom>
      <diagonal/>
    </border>
    <border>
      <left/>
      <right/>
      <top style="thin">
        <color indexed="28"/>
      </top>
      <bottom style="thin">
        <color indexed="2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4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0" fontId="3" fillId="0" borderId="1" xfId="0" applyFont="1" applyBorder="1"/>
    <xf numFmtId="0" fontId="0" fillId="0" borderId="1" xfId="0" applyBorder="1"/>
    <xf numFmtId="17" fontId="0" fillId="0" borderId="0" xfId="0" quotePrefix="1" applyNumberFormat="1"/>
    <xf numFmtId="0" fontId="5" fillId="0" borderId="0" xfId="0" applyFont="1"/>
    <xf numFmtId="0" fontId="4" fillId="0" borderId="0" xfId="0" applyFont="1"/>
    <xf numFmtId="167" fontId="6" fillId="0" borderId="0" xfId="0" quotePrefix="1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3" fontId="7" fillId="0" borderId="0" xfId="1" applyFont="1"/>
    <xf numFmtId="167" fontId="6" fillId="0" borderId="0" xfId="0" applyNumberFormat="1" applyFont="1" applyAlignment="1">
      <alignment horizontal="left"/>
    </xf>
    <xf numFmtId="167" fontId="6" fillId="0" borderId="0" xfId="1" applyNumberFormat="1" applyFont="1" applyAlignment="1">
      <alignment horizontal="center"/>
    </xf>
    <xf numFmtId="0" fontId="6" fillId="0" borderId="0" xfId="1" applyNumberFormat="1" applyFont="1" applyAlignment="1">
      <alignment horizontal="center"/>
    </xf>
    <xf numFmtId="0" fontId="8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/>
    <xf numFmtId="0" fontId="9" fillId="0" borderId="0" xfId="0" applyFont="1"/>
    <xf numFmtId="0" fontId="4" fillId="0" borderId="0" xfId="0" quotePrefix="1" applyFont="1"/>
    <xf numFmtId="0" fontId="0" fillId="2" borderId="0" xfId="0" applyFill="1"/>
    <xf numFmtId="0" fontId="12" fillId="0" borderId="0" xfId="0" applyFont="1"/>
    <xf numFmtId="0" fontId="12" fillId="0" borderId="0" xfId="0" applyFont="1" applyAlignment="1">
      <alignment horizontal="center"/>
    </xf>
    <xf numFmtId="41" fontId="4" fillId="0" borderId="0" xfId="0" applyNumberFormat="1" applyFont="1"/>
    <xf numFmtId="41" fontId="1" fillId="0" borderId="0" xfId="0" applyNumberFormat="1" applyFont="1"/>
    <xf numFmtId="41" fontId="5" fillId="0" borderId="0" xfId="0" applyNumberFormat="1" applyFont="1"/>
    <xf numFmtId="41" fontId="0" fillId="0" borderId="0" xfId="0" applyNumberFormat="1"/>
    <xf numFmtId="0" fontId="13" fillId="0" borderId="0" xfId="0" applyFont="1"/>
    <xf numFmtId="41" fontId="5" fillId="0" borderId="1" xfId="0" applyNumberFormat="1" applyFont="1" applyBorder="1"/>
    <xf numFmtId="41" fontId="4" fillId="0" borderId="1" xfId="0" applyNumberFormat="1" applyFont="1" applyBorder="1"/>
    <xf numFmtId="0" fontId="0" fillId="0" borderId="0" xfId="0" applyAlignment="1">
      <alignment horizontal="centerContinuous"/>
    </xf>
    <xf numFmtId="0" fontId="14" fillId="0" borderId="0" xfId="0" applyFont="1" applyAlignment="1">
      <alignment horizontal="centerContinuous"/>
    </xf>
    <xf numFmtId="169" fontId="14" fillId="0" borderId="0" xfId="0" applyNumberFormat="1" applyFont="1" applyAlignment="1">
      <alignment horizontal="centerContinuous"/>
    </xf>
    <xf numFmtId="0" fontId="0" fillId="0" borderId="0" xfId="0" applyNumberFormat="1" applyAlignment="1">
      <alignment horizontal="centerContinuous"/>
    </xf>
    <xf numFmtId="169" fontId="0" fillId="0" borderId="0" xfId="0" applyNumberFormat="1" applyAlignment="1">
      <alignment horizontal="center"/>
    </xf>
    <xf numFmtId="170" fontId="15" fillId="0" borderId="6" xfId="0" applyNumberFormat="1" applyFont="1" applyBorder="1" applyAlignment="1"/>
    <xf numFmtId="170" fontId="16" fillId="0" borderId="6" xfId="0" applyNumberFormat="1" applyFont="1" applyBorder="1" applyAlignment="1"/>
    <xf numFmtId="171" fontId="16" fillId="0" borderId="6" xfId="0" applyNumberFormat="1" applyFont="1" applyBorder="1" applyAlignment="1">
      <alignment horizontal="center"/>
    </xf>
    <xf numFmtId="170" fontId="15" fillId="0" borderId="7" xfId="0" applyNumberFormat="1" applyFont="1" applyBorder="1" applyAlignment="1"/>
    <xf numFmtId="170" fontId="16" fillId="0" borderId="7" xfId="0" applyNumberFormat="1" applyFont="1" applyBorder="1" applyAlignment="1"/>
    <xf numFmtId="171" fontId="16" fillId="0" borderId="7" xfId="0" applyNumberFormat="1" applyFont="1" applyBorder="1" applyAlignment="1">
      <alignment horizontal="center"/>
    </xf>
    <xf numFmtId="170" fontId="16" fillId="0" borderId="0" xfId="0" applyNumberFormat="1" applyFont="1" applyBorder="1" applyAlignment="1"/>
    <xf numFmtId="170" fontId="15" fillId="0" borderId="0" xfId="0" applyNumberFormat="1" applyFont="1" applyBorder="1" applyAlignment="1"/>
    <xf numFmtId="171" fontId="15" fillId="0" borderId="0" xfId="0" applyNumberFormat="1" applyFont="1" applyBorder="1" applyAlignment="1"/>
    <xf numFmtId="172" fontId="17" fillId="0" borderId="0" xfId="0" applyNumberFormat="1" applyFont="1"/>
    <xf numFmtId="170" fontId="16" fillId="0" borderId="8" xfId="0" applyNumberFormat="1" applyFont="1" applyBorder="1" applyAlignment="1"/>
    <xf numFmtId="41" fontId="1" fillId="0" borderId="8" xfId="0" applyNumberFormat="1" applyFont="1" applyBorder="1"/>
    <xf numFmtId="172" fontId="17" fillId="0" borderId="8" xfId="0" applyNumberFormat="1" applyFont="1" applyBorder="1"/>
    <xf numFmtId="41" fontId="0" fillId="0" borderId="8" xfId="0" applyNumberFormat="1" applyBorder="1"/>
    <xf numFmtId="41" fontId="0" fillId="0" borderId="7" xfId="0" applyNumberFormat="1" applyBorder="1"/>
    <xf numFmtId="172" fontId="9" fillId="0" borderId="7" xfId="0" applyNumberFormat="1" applyFont="1" applyBorder="1"/>
    <xf numFmtId="171" fontId="18" fillId="3" borderId="7" xfId="0" applyNumberFormat="1" applyFont="1" applyFill="1" applyBorder="1" applyAlignment="1">
      <alignment horizontal="center"/>
    </xf>
    <xf numFmtId="172" fontId="1" fillId="0" borderId="0" xfId="0" applyNumberFormat="1" applyFont="1"/>
    <xf numFmtId="172" fontId="1" fillId="0" borderId="8" xfId="0" applyNumberFormat="1" applyFont="1" applyBorder="1"/>
    <xf numFmtId="43" fontId="9" fillId="0" borderId="0" xfId="1" applyFont="1"/>
    <xf numFmtId="168" fontId="9" fillId="0" borderId="0" xfId="1" applyNumberFormat="1" applyFont="1"/>
    <xf numFmtId="168" fontId="9" fillId="3" borderId="2" xfId="1" applyNumberFormat="1" applyFont="1" applyFill="1" applyBorder="1" applyAlignment="1">
      <alignment horizontal="center"/>
    </xf>
    <xf numFmtId="168" fontId="16" fillId="3" borderId="6" xfId="1" applyNumberFormat="1" applyFont="1" applyFill="1" applyBorder="1" applyAlignment="1">
      <alignment horizontal="center"/>
    </xf>
    <xf numFmtId="168" fontId="18" fillId="3" borderId="7" xfId="1" applyNumberFormat="1" applyFont="1" applyFill="1" applyBorder="1" applyAlignment="1">
      <alignment horizontal="center"/>
    </xf>
    <xf numFmtId="168" fontId="9" fillId="0" borderId="0" xfId="1" applyNumberFormat="1" applyFont="1" applyFill="1"/>
    <xf numFmtId="0" fontId="14" fillId="0" borderId="0" xfId="0" applyFont="1" applyAlignment="1">
      <alignment horizontal="center"/>
    </xf>
    <xf numFmtId="43" fontId="0" fillId="0" borderId="0" xfId="1" applyFont="1"/>
    <xf numFmtId="168" fontId="0" fillId="0" borderId="0" xfId="1" applyNumberFormat="1" applyFont="1"/>
    <xf numFmtId="40" fontId="0" fillId="0" borderId="0" xfId="0" applyNumberFormat="1"/>
    <xf numFmtId="41" fontId="0" fillId="0" borderId="0" xfId="0" applyNumberFormat="1" applyFill="1"/>
    <xf numFmtId="172" fontId="1" fillId="0" borderId="0" xfId="0" applyNumberFormat="1" applyFont="1" applyFill="1"/>
    <xf numFmtId="0" fontId="9" fillId="0" borderId="0" xfId="0" applyFont="1" applyFill="1"/>
    <xf numFmtId="0" fontId="0" fillId="0" borderId="0" xfId="0" applyFill="1"/>
    <xf numFmtId="3" fontId="4" fillId="0" borderId="0" xfId="0" applyNumberFormat="1" applyFont="1" applyFill="1"/>
    <xf numFmtId="168" fontId="9" fillId="4" borderId="0" xfId="1" applyNumberFormat="1" applyFont="1" applyFill="1"/>
    <xf numFmtId="168" fontId="9" fillId="4" borderId="8" xfId="1" applyNumberFormat="1" applyFont="1" applyFill="1" applyBorder="1"/>
    <xf numFmtId="168" fontId="9" fillId="4" borderId="3" xfId="1" applyNumberFormat="1" applyFont="1" applyFill="1" applyBorder="1"/>
    <xf numFmtId="168" fontId="0" fillId="4" borderId="3" xfId="1" applyNumberFormat="1" applyFont="1" applyFill="1" applyBorder="1"/>
    <xf numFmtId="168" fontId="0" fillId="4" borderId="0" xfId="1" applyNumberFormat="1" applyFont="1" applyFill="1"/>
    <xf numFmtId="10" fontId="0" fillId="0" borderId="0" xfId="0" applyNumberFormat="1"/>
    <xf numFmtId="168" fontId="0" fillId="0" borderId="0" xfId="0" applyNumberFormat="1"/>
    <xf numFmtId="43" fontId="0" fillId="0" borderId="0" xfId="0" applyNumberFormat="1"/>
    <xf numFmtId="4" fontId="0" fillId="0" borderId="0" xfId="0" applyNumberFormat="1"/>
    <xf numFmtId="4" fontId="0" fillId="0" borderId="0" xfId="0" applyNumberFormat="1" applyFont="1"/>
    <xf numFmtId="43" fontId="0" fillId="0" borderId="0" xfId="1" applyNumberFormat="1" applyFont="1"/>
    <xf numFmtId="0" fontId="0" fillId="0" borderId="0" xfId="0" applyFont="1"/>
    <xf numFmtId="0" fontId="4" fillId="0" borderId="0" xfId="0" applyFont="1" applyFill="1"/>
    <xf numFmtId="43" fontId="9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168" fontId="9" fillId="0" borderId="0" xfId="1" applyNumberFormat="1" applyFont="1" applyAlignment="1">
      <alignment horizontal="center"/>
    </xf>
    <xf numFmtId="41" fontId="4" fillId="0" borderId="0" xfId="0" applyNumberFormat="1" applyFont="1" applyFill="1"/>
    <xf numFmtId="168" fontId="9" fillId="0" borderId="4" xfId="1" applyNumberFormat="1" applyFont="1" applyBorder="1"/>
    <xf numFmtId="0" fontId="14" fillId="0" borderId="0" xfId="0" applyFont="1" applyAlignment="1">
      <alignment horizontal="center"/>
    </xf>
    <xf numFmtId="0" fontId="9" fillId="2" borderId="0" xfId="0" applyFont="1" applyFill="1"/>
    <xf numFmtId="0" fontId="9" fillId="3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73" fontId="0" fillId="0" borderId="0" xfId="2" applyNumberFormat="1" applyFont="1"/>
    <xf numFmtId="173" fontId="0" fillId="0" borderId="0" xfId="2" applyNumberFormat="1" applyFont="1" applyBorder="1"/>
    <xf numFmtId="173" fontId="0" fillId="0" borderId="0" xfId="2" applyNumberFormat="1" applyFont="1" applyFill="1" applyBorder="1"/>
    <xf numFmtId="173" fontId="1" fillId="0" borderId="0" xfId="2" applyNumberFormat="1" applyFont="1" applyFill="1" applyBorder="1"/>
    <xf numFmtId="173" fontId="9" fillId="3" borderId="9" xfId="2" applyNumberFormat="1" applyFont="1" applyFill="1" applyBorder="1"/>
    <xf numFmtId="173" fontId="9" fillId="3" borderId="5" xfId="0" applyNumberFormat="1" applyFont="1" applyFill="1" applyBorder="1"/>
    <xf numFmtId="173" fontId="0" fillId="0" borderId="1" xfId="2" applyNumberFormat="1" applyFont="1" applyBorder="1"/>
    <xf numFmtId="173" fontId="9" fillId="0" borderId="2" xfId="2" applyNumberFormat="1" applyFont="1" applyFill="1" applyBorder="1"/>
    <xf numFmtId="0" fontId="19" fillId="2" borderId="0" xfId="0" applyFont="1" applyFill="1"/>
    <xf numFmtId="173" fontId="19" fillId="3" borderId="9" xfId="2" applyNumberFormat="1" applyFont="1" applyFill="1" applyBorder="1"/>
    <xf numFmtId="173" fontId="9" fillId="0" borderId="0" xfId="2" applyNumberFormat="1" applyFont="1" applyBorder="1"/>
    <xf numFmtId="173" fontId="0" fillId="0" borderId="0" xfId="0" applyNumberFormat="1"/>
    <xf numFmtId="173" fontId="9" fillId="0" borderId="0" xfId="0" applyNumberFormat="1" applyFont="1" applyBorder="1"/>
    <xf numFmtId="0" fontId="9" fillId="2" borderId="0" xfId="0" applyFont="1" applyFill="1" applyAlignment="1">
      <alignment horizontal="center"/>
    </xf>
    <xf numFmtId="173" fontId="1" fillId="0" borderId="0" xfId="2" applyNumberFormat="1" applyFont="1"/>
    <xf numFmtId="173" fontId="9" fillId="2" borderId="5" xfId="0" applyNumberFormat="1" applyFont="1" applyFill="1" applyBorder="1"/>
    <xf numFmtId="173" fontId="9" fillId="0" borderId="0" xfId="0" applyNumberFormat="1" applyFont="1" applyFill="1" applyBorder="1"/>
    <xf numFmtId="44" fontId="9" fillId="0" borderId="0" xfId="2" applyFont="1" applyBorder="1"/>
    <xf numFmtId="173" fontId="1" fillId="0" borderId="0" xfId="2" applyNumberFormat="1" applyFont="1" applyBorder="1"/>
    <xf numFmtId="0" fontId="1" fillId="0" borderId="0" xfId="0" applyFont="1" applyFill="1"/>
    <xf numFmtId="173" fontId="1" fillId="0" borderId="0" xfId="0" applyNumberFormat="1" applyFont="1" applyFill="1" applyBorder="1"/>
    <xf numFmtId="0" fontId="9" fillId="3" borderId="0" xfId="0" applyFont="1" applyFill="1"/>
    <xf numFmtId="173" fontId="9" fillId="2" borderId="5" xfId="0" applyNumberFormat="1" applyFont="1" applyFill="1" applyBorder="1" applyAlignment="1">
      <alignment shrinkToFit="1"/>
    </xf>
    <xf numFmtId="173" fontId="9" fillId="0" borderId="0" xfId="0" applyNumberFormat="1" applyFont="1" applyFill="1" applyBorder="1" applyAlignment="1">
      <alignment shrinkToFit="1"/>
    </xf>
    <xf numFmtId="173" fontId="1" fillId="0" borderId="1" xfId="2" applyNumberFormat="1" applyFont="1" applyBorder="1"/>
    <xf numFmtId="44" fontId="0" fillId="0" borderId="0" xfId="2" applyFont="1"/>
    <xf numFmtId="0" fontId="0" fillId="0" borderId="0" xfId="0" applyAlignment="1">
      <alignment shrinkToFit="1"/>
    </xf>
    <xf numFmtId="173" fontId="9" fillId="0" borderId="0" xfId="0" applyNumberFormat="1" applyFont="1" applyBorder="1" applyAlignment="1">
      <alignment shrinkToFit="1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/>
    </xf>
    <xf numFmtId="168" fontId="4" fillId="0" borderId="0" xfId="1" applyNumberFormat="1" applyFont="1"/>
    <xf numFmtId="43" fontId="4" fillId="0" borderId="0" xfId="0" applyNumberFormat="1" applyFont="1"/>
    <xf numFmtId="168" fontId="4" fillId="0" borderId="1" xfId="1" applyNumberFormat="1" applyFont="1" applyBorder="1"/>
    <xf numFmtId="168" fontId="4" fillId="0" borderId="0" xfId="0" applyNumberFormat="1" applyFont="1"/>
    <xf numFmtId="43" fontId="4" fillId="0" borderId="5" xfId="1" applyFont="1" applyBorder="1"/>
    <xf numFmtId="170" fontId="20" fillId="0" borderId="0" xfId="0" applyNumberFormat="1" applyFont="1" applyBorder="1" applyAlignment="1"/>
    <xf numFmtId="168" fontId="9" fillId="0" borderId="1" xfId="1" applyNumberFormat="1" applyFont="1" applyBorder="1"/>
    <xf numFmtId="0" fontId="22" fillId="0" borderId="10" xfId="0" applyFont="1" applyBorder="1" applyAlignment="1">
      <alignment vertical="top"/>
    </xf>
    <xf numFmtId="0" fontId="23" fillId="0" borderId="11" xfId="0" applyFont="1" applyBorder="1" applyAlignment="1">
      <alignment vertical="top"/>
    </xf>
    <xf numFmtId="0" fontId="0" fillId="0" borderId="12" xfId="0" applyBorder="1" applyAlignment="1">
      <alignment vertical="top"/>
    </xf>
    <xf numFmtId="0" fontId="22" fillId="0" borderId="15" xfId="0" applyFont="1" applyBorder="1" applyAlignment="1">
      <alignment vertical="top"/>
    </xf>
    <xf numFmtId="0" fontId="23" fillId="0" borderId="1" xfId="0" applyFont="1" applyBorder="1" applyAlignment="1">
      <alignment vertical="top"/>
    </xf>
    <xf numFmtId="0" fontId="0" fillId="0" borderId="16" xfId="0" applyBorder="1" applyAlignment="1">
      <alignment vertical="top"/>
    </xf>
    <xf numFmtId="170" fontId="24" fillId="0" borderId="17" xfId="0" applyNumberFormat="1" applyFont="1" applyBorder="1" applyAlignment="1">
      <alignment vertical="top"/>
    </xf>
    <xf numFmtId="171" fontId="5" fillId="0" borderId="17" xfId="0" applyNumberFormat="1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170" fontId="4" fillId="0" borderId="18" xfId="0" applyNumberFormat="1" applyFont="1" applyBorder="1" applyAlignment="1">
      <alignment vertical="top"/>
    </xf>
    <xf numFmtId="171" fontId="5" fillId="0" borderId="18" xfId="0" applyNumberFormat="1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170" fontId="5" fillId="0" borderId="19" xfId="0" applyNumberFormat="1" applyFont="1" applyBorder="1" applyAlignment="1">
      <alignment vertical="top"/>
    </xf>
    <xf numFmtId="171" fontId="4" fillId="0" borderId="19" xfId="0" applyNumberFormat="1" applyFont="1" applyBorder="1" applyAlignment="1">
      <alignment vertical="top"/>
    </xf>
    <xf numFmtId="0" fontId="4" fillId="0" borderId="19" xfId="0" applyFont="1" applyBorder="1" applyAlignment="1">
      <alignment vertical="top"/>
    </xf>
    <xf numFmtId="164" fontId="4" fillId="0" borderId="19" xfId="0" applyNumberFormat="1" applyFont="1" applyBorder="1" applyAlignment="1">
      <alignment vertical="top"/>
    </xf>
    <xf numFmtId="174" fontId="4" fillId="0" borderId="19" xfId="0" applyNumberFormat="1" applyFont="1" applyBorder="1" applyAlignment="1">
      <alignment vertical="top"/>
    </xf>
    <xf numFmtId="174" fontId="5" fillId="0" borderId="19" xfId="0" applyNumberFormat="1" applyFont="1" applyBorder="1" applyAlignment="1">
      <alignment vertical="top"/>
    </xf>
    <xf numFmtId="170" fontId="4" fillId="0" borderId="19" xfId="0" applyNumberFormat="1" applyFont="1" applyBorder="1" applyAlignment="1">
      <alignment vertical="top"/>
    </xf>
    <xf numFmtId="9" fontId="4" fillId="0" borderId="19" xfId="0" applyNumberFormat="1" applyFont="1" applyBorder="1" applyAlignment="1">
      <alignment horizontal="left" vertical="top"/>
    </xf>
    <xf numFmtId="0" fontId="5" fillId="0" borderId="19" xfId="0" applyFont="1" applyBorder="1" applyAlignment="1">
      <alignment vertical="top"/>
    </xf>
    <xf numFmtId="43" fontId="16" fillId="3" borderId="6" xfId="1" applyFont="1" applyFill="1" applyBorder="1" applyAlignment="1">
      <alignment horizontal="center"/>
    </xf>
    <xf numFmtId="43" fontId="18" fillId="3" borderId="7" xfId="1" applyFont="1" applyFill="1" applyBorder="1" applyAlignment="1">
      <alignment horizontal="center"/>
    </xf>
    <xf numFmtId="43" fontId="9" fillId="0" borderId="0" xfId="1" applyFont="1" applyFill="1"/>
    <xf numFmtId="0" fontId="1" fillId="0" borderId="0" xfId="3"/>
    <xf numFmtId="0" fontId="21" fillId="0" borderId="0" xfId="3" applyFont="1"/>
    <xf numFmtId="3" fontId="1" fillId="0" borderId="0" xfId="3" applyNumberFormat="1"/>
    <xf numFmtId="4" fontId="1" fillId="0" borderId="0" xfId="3" applyNumberFormat="1"/>
    <xf numFmtId="4" fontId="1" fillId="0" borderId="1" xfId="3" applyNumberFormat="1" applyBorder="1"/>
    <xf numFmtId="37" fontId="0" fillId="0" borderId="0" xfId="0" applyNumberFormat="1"/>
    <xf numFmtId="37" fontId="9" fillId="0" borderId="0" xfId="0" applyNumberFormat="1" applyFont="1" applyAlignment="1">
      <alignment horizontal="center"/>
    </xf>
    <xf numFmtId="37" fontId="9" fillId="0" borderId="0" xfId="0" applyNumberFormat="1" applyFont="1"/>
    <xf numFmtId="37" fontId="0" fillId="0" borderId="11" xfId="0" applyNumberFormat="1" applyBorder="1"/>
    <xf numFmtId="37" fontId="1" fillId="0" borderId="0" xfId="0" applyNumberFormat="1" applyFont="1"/>
    <xf numFmtId="37" fontId="1" fillId="0" borderId="0" xfId="0" applyNumberFormat="1" applyFont="1" applyBorder="1"/>
    <xf numFmtId="37" fontId="0" fillId="0" borderId="20" xfId="0" applyNumberFormat="1" applyBorder="1"/>
    <xf numFmtId="0" fontId="0" fillId="0" borderId="20" xfId="0" applyBorder="1"/>
    <xf numFmtId="37" fontId="0" fillId="0" borderId="4" xfId="0" applyNumberFormat="1" applyBorder="1"/>
    <xf numFmtId="9" fontId="0" fillId="0" borderId="0" xfId="4" applyFont="1" applyAlignment="1">
      <alignment horizontal="left"/>
    </xf>
    <xf numFmtId="3" fontId="0" fillId="0" borderId="0" xfId="0" applyNumberFormat="1" applyFont="1"/>
    <xf numFmtId="3" fontId="21" fillId="5" borderId="0" xfId="0" applyNumberFormat="1" applyFont="1" applyFill="1"/>
    <xf numFmtId="175" fontId="0" fillId="5" borderId="0" xfId="0" applyNumberFormat="1" applyFont="1" applyFill="1"/>
    <xf numFmtId="3" fontId="0" fillId="5" borderId="0" xfId="0" applyNumberFormat="1" applyFont="1" applyFill="1"/>
    <xf numFmtId="3" fontId="21" fillId="6" borderId="0" xfId="0" applyNumberFormat="1" applyFont="1" applyFill="1" applyAlignment="1">
      <alignment horizontal="center"/>
    </xf>
    <xf numFmtId="175" fontId="0" fillId="0" borderId="0" xfId="0" applyNumberFormat="1" applyFont="1"/>
    <xf numFmtId="3" fontId="21" fillId="0" borderId="0" xfId="0" applyNumberFormat="1" applyFont="1" applyAlignment="1">
      <alignment horizontal="right"/>
    </xf>
    <xf numFmtId="3" fontId="21" fillId="0" borderId="0" xfId="0" applyNumberFormat="1" applyFont="1" applyAlignment="1">
      <alignment horizontal="center"/>
    </xf>
    <xf numFmtId="3" fontId="0" fillId="0" borderId="0" xfId="0" applyNumberFormat="1" applyFont="1" applyFill="1"/>
    <xf numFmtId="175" fontId="0" fillId="0" borderId="0" xfId="0" applyNumberFormat="1" applyFont="1" applyFill="1"/>
    <xf numFmtId="3" fontId="0" fillId="0" borderId="0" xfId="0" applyNumberFormat="1" applyFont="1" applyFill="1" applyAlignment="1">
      <alignment vertical="top"/>
    </xf>
    <xf numFmtId="3" fontId="25" fillId="0" borderId="0" xfId="0" applyNumberFormat="1" applyFont="1" applyFill="1"/>
    <xf numFmtId="3" fontId="0" fillId="0" borderId="0" xfId="0" applyNumberFormat="1" applyFont="1" applyFill="1" applyBorder="1"/>
    <xf numFmtId="3" fontId="21" fillId="3" borderId="0" xfId="0" applyNumberFormat="1" applyFont="1" applyFill="1" applyAlignment="1">
      <alignment horizontal="right"/>
    </xf>
    <xf numFmtId="175" fontId="0" fillId="3" borderId="0" xfId="0" applyNumberFormat="1" applyFont="1" applyFill="1"/>
    <xf numFmtId="3" fontId="21" fillId="3" borderId="0" xfId="0" applyNumberFormat="1" applyFont="1" applyFill="1"/>
    <xf numFmtId="3" fontId="0" fillId="3" borderId="0" xfId="0" applyNumberFormat="1" applyFont="1" applyFill="1"/>
    <xf numFmtId="3" fontId="21" fillId="5" borderId="0" xfId="0" applyNumberFormat="1" applyFont="1" applyFill="1" applyAlignment="1">
      <alignment horizontal="center"/>
    </xf>
    <xf numFmtId="3" fontId="21" fillId="0" borderId="0" xfId="0" applyNumberFormat="1" applyFont="1"/>
    <xf numFmtId="3" fontId="0" fillId="0" borderId="0" xfId="0" applyNumberFormat="1" applyFont="1" applyAlignment="1">
      <alignment horizontal="right"/>
    </xf>
    <xf numFmtId="3" fontId="25" fillId="0" borderId="0" xfId="0" applyNumberFormat="1" applyFont="1"/>
    <xf numFmtId="3" fontId="26" fillId="0" borderId="0" xfId="0" applyNumberFormat="1" applyFont="1"/>
    <xf numFmtId="3" fontId="21" fillId="0" borderId="0" xfId="0" applyNumberFormat="1" applyFont="1" applyFill="1"/>
    <xf numFmtId="3" fontId="0" fillId="0" borderId="0" xfId="0" applyNumberFormat="1" applyFont="1" applyFill="1" applyAlignment="1">
      <alignment horizontal="right"/>
    </xf>
    <xf numFmtId="3" fontId="0" fillId="0" borderId="0" xfId="0" applyNumberFormat="1" applyFont="1" applyAlignment="1">
      <alignment horizontal="center"/>
    </xf>
    <xf numFmtId="3" fontId="21" fillId="0" borderId="0" xfId="0" applyNumberFormat="1" applyFont="1" applyAlignment="1">
      <alignment horizontal="left"/>
    </xf>
    <xf numFmtId="3" fontId="0" fillId="0" borderId="0" xfId="0" applyNumberFormat="1" applyFont="1" applyAlignment="1">
      <alignment horizontal="left"/>
    </xf>
    <xf numFmtId="3" fontId="21" fillId="6" borderId="0" xfId="0" applyNumberFormat="1" applyFont="1" applyFill="1"/>
    <xf numFmtId="175" fontId="0" fillId="6" borderId="0" xfId="0" applyNumberFormat="1" applyFont="1" applyFill="1"/>
    <xf numFmtId="3" fontId="0" fillId="3" borderId="0" xfId="0" applyNumberFormat="1" applyFont="1" applyFill="1" applyAlignment="1"/>
    <xf numFmtId="3" fontId="21" fillId="7" borderId="0" xfId="0" applyNumberFormat="1" applyFont="1" applyFill="1" applyAlignment="1">
      <alignment horizontal="right"/>
    </xf>
    <xf numFmtId="175" fontId="0" fillId="7" borderId="0" xfId="0" applyNumberFormat="1" applyFont="1" applyFill="1"/>
    <xf numFmtId="3" fontId="21" fillId="7" borderId="0" xfId="0" applyNumberFormat="1" applyFont="1" applyFill="1"/>
    <xf numFmtId="3" fontId="0" fillId="7" borderId="0" xfId="0" applyNumberFormat="1" applyFont="1" applyFill="1" applyAlignment="1"/>
    <xf numFmtId="3" fontId="21" fillId="8" borderId="0" xfId="0" applyNumberFormat="1" applyFont="1" applyFill="1"/>
    <xf numFmtId="175" fontId="0" fillId="8" borderId="0" xfId="0" applyNumberFormat="1" applyFont="1" applyFill="1"/>
    <xf numFmtId="3" fontId="0" fillId="8" borderId="0" xfId="0" applyNumberFormat="1" applyFont="1" applyFill="1"/>
    <xf numFmtId="3" fontId="21" fillId="9" borderId="0" xfId="0" applyNumberFormat="1" applyFont="1" applyFill="1"/>
    <xf numFmtId="175" fontId="21" fillId="0" borderId="0" xfId="0" applyNumberFormat="1" applyFont="1" applyAlignment="1">
      <alignment horizontal="center"/>
    </xf>
    <xf numFmtId="3" fontId="27" fillId="0" borderId="0" xfId="0" applyNumberFormat="1" applyFont="1" applyAlignment="1">
      <alignment horizontal="left"/>
    </xf>
    <xf numFmtId="175" fontId="0" fillId="0" borderId="0" xfId="0" applyNumberFormat="1" applyFont="1" applyAlignment="1">
      <alignment horizontal="center"/>
    </xf>
    <xf numFmtId="3" fontId="25" fillId="0" borderId="0" xfId="0" applyNumberFormat="1" applyFont="1" applyAlignment="1">
      <alignment horizontal="left"/>
    </xf>
    <xf numFmtId="175" fontId="25" fillId="0" borderId="0" xfId="0" applyNumberFormat="1" applyFont="1" applyAlignment="1">
      <alignment horizontal="center"/>
    </xf>
    <xf numFmtId="3" fontId="21" fillId="10" borderId="0" xfId="0" applyNumberFormat="1" applyFont="1" applyFill="1" applyAlignment="1">
      <alignment horizontal="right"/>
    </xf>
    <xf numFmtId="175" fontId="0" fillId="10" borderId="0" xfId="0" applyNumberFormat="1" applyFont="1" applyFill="1" applyAlignment="1">
      <alignment horizontal="center"/>
    </xf>
    <xf numFmtId="3" fontId="21" fillId="10" borderId="0" xfId="0" applyNumberFormat="1" applyFont="1" applyFill="1"/>
    <xf numFmtId="3" fontId="0" fillId="10" borderId="0" xfId="0" applyNumberFormat="1" applyFont="1" applyFill="1" applyAlignment="1">
      <alignment horizontal="center"/>
    </xf>
    <xf numFmtId="175" fontId="21" fillId="8" borderId="0" xfId="0" applyNumberFormat="1" applyFont="1" applyFill="1"/>
    <xf numFmtId="175" fontId="21" fillId="0" borderId="0" xfId="0" applyNumberFormat="1" applyFont="1" applyFill="1" applyAlignment="1">
      <alignment horizontal="center"/>
    </xf>
    <xf numFmtId="3" fontId="21" fillId="0" borderId="0" xfId="0" applyNumberFormat="1" applyFont="1" applyFill="1" applyAlignment="1">
      <alignment horizontal="right"/>
    </xf>
    <xf numFmtId="175" fontId="0" fillId="10" borderId="0" xfId="0" applyNumberFormat="1" applyFont="1" applyFill="1"/>
    <xf numFmtId="3" fontId="0" fillId="0" borderId="0" xfId="0" applyNumberFormat="1" applyFont="1" applyFill="1" applyAlignment="1">
      <alignment horizontal="center"/>
    </xf>
    <xf numFmtId="175" fontId="0" fillId="0" borderId="0" xfId="0" applyNumberFormat="1" applyFont="1" applyFill="1" applyAlignment="1">
      <alignment horizontal="center"/>
    </xf>
    <xf numFmtId="3" fontId="0" fillId="0" borderId="0" xfId="0" applyNumberFormat="1" applyFont="1" applyFill="1" applyAlignment="1">
      <alignment horizontal="left"/>
    </xf>
    <xf numFmtId="175" fontId="25" fillId="0" borderId="0" xfId="0" applyNumberFormat="1" applyFont="1" applyFill="1" applyAlignment="1">
      <alignment horizontal="center"/>
    </xf>
    <xf numFmtId="3" fontId="29" fillId="0" borderId="0" xfId="0" applyNumberFormat="1" applyFont="1" applyAlignment="1">
      <alignment horizontal="center"/>
    </xf>
    <xf numFmtId="175" fontId="25" fillId="0" borderId="0" xfId="0" applyNumberFormat="1" applyFont="1"/>
    <xf numFmtId="175" fontId="21" fillId="8" borderId="0" xfId="0" applyNumberFormat="1" applyFont="1" applyFill="1" applyAlignment="1">
      <alignment horizontal="right"/>
    </xf>
    <xf numFmtId="3" fontId="21" fillId="9" borderId="0" xfId="0" applyNumberFormat="1" applyFont="1" applyFill="1" applyAlignment="1">
      <alignment horizontal="left"/>
    </xf>
    <xf numFmtId="3" fontId="27" fillId="0" borderId="0" xfId="0" applyNumberFormat="1" applyFont="1"/>
    <xf numFmtId="3" fontId="30" fillId="0" borderId="0" xfId="0" applyNumberFormat="1" applyFont="1"/>
    <xf numFmtId="3" fontId="0" fillId="10" borderId="0" xfId="0" applyNumberFormat="1" applyFont="1" applyFill="1"/>
    <xf numFmtId="3" fontId="26" fillId="9" borderId="0" xfId="0" applyNumberFormat="1" applyFont="1" applyFill="1"/>
    <xf numFmtId="3" fontId="26" fillId="10" borderId="0" xfId="0" applyNumberFormat="1" applyFont="1" applyFill="1" applyAlignment="1">
      <alignment horizontal="right"/>
    </xf>
    <xf numFmtId="175" fontId="25" fillId="0" borderId="0" xfId="0" applyNumberFormat="1" applyFont="1" applyAlignment="1">
      <alignment horizontal="right"/>
    </xf>
    <xf numFmtId="9" fontId="25" fillId="0" borderId="0" xfId="4" applyFont="1" applyAlignment="1">
      <alignment horizontal="left"/>
    </xf>
    <xf numFmtId="3" fontId="30" fillId="0" borderId="0" xfId="0" applyNumberFormat="1" applyFont="1" applyAlignment="1">
      <alignment horizontal="right"/>
    </xf>
    <xf numFmtId="175" fontId="21" fillId="8" borderId="0" xfId="0" applyNumberFormat="1" applyFont="1" applyFill="1" applyAlignment="1">
      <alignment horizontal="center"/>
    </xf>
    <xf numFmtId="3" fontId="21" fillId="8" borderId="0" xfId="0" applyNumberFormat="1" applyFont="1" applyFill="1" applyAlignment="1">
      <alignment horizontal="center"/>
    </xf>
    <xf numFmtId="3" fontId="21" fillId="0" borderId="0" xfId="0" applyNumberFormat="1" applyFont="1" applyFill="1" applyAlignment="1">
      <alignment horizontal="center"/>
    </xf>
    <xf numFmtId="175" fontId="25" fillId="0" borderId="0" xfId="0" applyNumberFormat="1" applyFont="1" applyFill="1"/>
    <xf numFmtId="0" fontId="0" fillId="0" borderId="0" xfId="0" applyFont="1" applyFill="1"/>
    <xf numFmtId="41" fontId="5" fillId="0" borderId="0" xfId="0" applyNumberFormat="1" applyFont="1" applyFill="1"/>
    <xf numFmtId="166" fontId="0" fillId="0" borderId="0" xfId="0" applyNumberFormat="1"/>
    <xf numFmtId="0" fontId="31" fillId="0" borderId="0" xfId="0" applyFont="1"/>
    <xf numFmtId="169" fontId="0" fillId="0" borderId="0" xfId="0" applyNumberFormat="1" applyAlignment="1">
      <alignment horizontal="center"/>
    </xf>
    <xf numFmtId="168" fontId="9" fillId="3" borderId="2" xfId="1" quotePrefix="1" applyNumberFormat="1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171" fontId="16" fillId="0" borderId="6" xfId="0" applyNumberFormat="1" applyFont="1" applyBorder="1" applyAlignment="1">
      <alignment horizontal="right"/>
    </xf>
    <xf numFmtId="171" fontId="16" fillId="0" borderId="7" xfId="0" applyNumberFormat="1" applyFont="1" applyBorder="1" applyAlignment="1">
      <alignment horizontal="right"/>
    </xf>
    <xf numFmtId="171" fontId="15" fillId="0" borderId="0" xfId="0" applyNumberFormat="1" applyFont="1" applyBorder="1" applyAlignment="1">
      <alignment horizontal="right"/>
    </xf>
    <xf numFmtId="168" fontId="17" fillId="0" borderId="0" xfId="1" applyNumberFormat="1" applyFont="1" applyAlignment="1">
      <alignment horizontal="right"/>
    </xf>
    <xf numFmtId="168" fontId="17" fillId="0" borderId="8" xfId="1" applyNumberFormat="1" applyFont="1" applyBorder="1" applyAlignment="1">
      <alignment horizontal="right"/>
    </xf>
    <xf numFmtId="168" fontId="9" fillId="0" borderId="7" xfId="1" applyNumberFormat="1" applyFont="1" applyBorder="1" applyAlignment="1">
      <alignment horizontal="right"/>
    </xf>
    <xf numFmtId="0" fontId="9" fillId="0" borderId="0" xfId="0" quotePrefix="1" applyFont="1" applyAlignment="1">
      <alignment horizontal="center"/>
    </xf>
    <xf numFmtId="174" fontId="1" fillId="0" borderId="0" xfId="0" applyNumberFormat="1" applyFont="1"/>
    <xf numFmtId="174" fontId="1" fillId="0" borderId="8" xfId="0" applyNumberFormat="1" applyFont="1" applyBorder="1"/>
    <xf numFmtId="174" fontId="9" fillId="0" borderId="7" xfId="0" applyNumberFormat="1" applyFont="1" applyBorder="1"/>
    <xf numFmtId="0" fontId="22" fillId="0" borderId="13" xfId="0" applyFont="1" applyBorder="1" applyAlignment="1">
      <alignment vertical="top"/>
    </xf>
    <xf numFmtId="9" fontId="1" fillId="0" borderId="0" xfId="4" applyFont="1"/>
    <xf numFmtId="10" fontId="1" fillId="0" borderId="0" xfId="4" applyNumberFormat="1" applyFont="1"/>
    <xf numFmtId="6" fontId="0" fillId="0" borderId="0" xfId="0" applyNumberFormat="1" applyAlignment="1">
      <alignment horizontal="left"/>
    </xf>
    <xf numFmtId="168" fontId="9" fillId="3" borderId="0" xfId="1" applyNumberFormat="1" applyFont="1" applyFill="1"/>
    <xf numFmtId="43" fontId="9" fillId="3" borderId="0" xfId="1" applyFont="1" applyFill="1"/>
    <xf numFmtId="0" fontId="21" fillId="0" borderId="0" xfId="0" applyNumberFormat="1" applyFont="1" applyAlignment="1">
      <alignment horizontal="right"/>
    </xf>
    <xf numFmtId="0" fontId="21" fillId="5" borderId="0" xfId="0" applyNumberFormat="1" applyFont="1" applyFill="1" applyAlignment="1">
      <alignment horizontal="right"/>
    </xf>
    <xf numFmtId="0" fontId="21" fillId="6" borderId="0" xfId="0" applyNumberFormat="1" applyFont="1" applyFill="1" applyAlignment="1">
      <alignment horizontal="right"/>
    </xf>
    <xf numFmtId="0" fontId="21" fillId="0" borderId="0" xfId="0" applyNumberFormat="1" applyFont="1" applyFill="1" applyAlignment="1">
      <alignment horizontal="right"/>
    </xf>
    <xf numFmtId="0" fontId="9" fillId="2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173" fontId="0" fillId="0" borderId="0" xfId="2" applyNumberFormat="1" applyFont="1" applyFill="1"/>
    <xf numFmtId="165" fontId="9" fillId="0" borderId="5" xfId="0" applyNumberFormat="1" applyFont="1" applyFill="1" applyBorder="1"/>
    <xf numFmtId="165" fontId="0" fillId="0" borderId="0" xfId="2" applyNumberFormat="1" applyFont="1" applyFill="1"/>
    <xf numFmtId="173" fontId="0" fillId="0" borderId="1" xfId="2" applyNumberFormat="1" applyFont="1" applyFill="1" applyBorder="1"/>
    <xf numFmtId="165" fontId="0" fillId="0" borderId="1" xfId="2" applyNumberFormat="1" applyFont="1" applyFill="1" applyBorder="1"/>
    <xf numFmtId="165" fontId="9" fillId="0" borderId="0" xfId="0" applyNumberFormat="1" applyFont="1"/>
    <xf numFmtId="165" fontId="19" fillId="0" borderId="9" xfId="2" applyNumberFormat="1" applyFont="1" applyBorder="1"/>
    <xf numFmtId="0" fontId="1" fillId="0" borderId="0" xfId="0" applyFont="1" applyFill="1" applyBorder="1"/>
    <xf numFmtId="0" fontId="9" fillId="0" borderId="0" xfId="0" applyFont="1" applyFill="1" applyBorder="1"/>
    <xf numFmtId="44" fontId="9" fillId="0" borderId="5" xfId="2" applyFont="1" applyBorder="1"/>
    <xf numFmtId="44" fontId="9" fillId="0" borderId="0" xfId="2" applyFont="1" applyFill="1" applyBorder="1"/>
    <xf numFmtId="173" fontId="1" fillId="0" borderId="0" xfId="2" applyNumberFormat="1" applyFont="1" applyFill="1"/>
    <xf numFmtId="44" fontId="0" fillId="0" borderId="0" xfId="2" applyFont="1" applyAlignment="1">
      <alignment shrinkToFit="1"/>
    </xf>
    <xf numFmtId="44" fontId="1" fillId="0" borderId="0" xfId="2" applyFont="1" applyFill="1" applyBorder="1" applyAlignment="1">
      <alignment shrinkToFit="1"/>
    </xf>
    <xf numFmtId="44" fontId="1" fillId="0" borderId="0" xfId="2" applyFont="1" applyAlignment="1">
      <alignment shrinkToFit="1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176" fontId="1" fillId="0" borderId="0" xfId="1" quotePrefix="1" applyNumberFormat="1" applyFont="1"/>
    <xf numFmtId="174" fontId="1" fillId="0" borderId="0" xfId="0" applyNumberFormat="1" applyFont="1" applyBorder="1" applyAlignment="1">
      <alignment vertical="top"/>
    </xf>
    <xf numFmtId="176" fontId="0" fillId="0" borderId="0" xfId="0" applyNumberFormat="1"/>
    <xf numFmtId="168" fontId="1" fillId="0" borderId="0" xfId="0" quotePrefix="1" applyNumberFormat="1" applyFont="1"/>
    <xf numFmtId="177" fontId="4" fillId="0" borderId="19" xfId="0" applyNumberFormat="1" applyFont="1" applyBorder="1" applyAlignment="1">
      <alignment horizontal="left" vertical="top"/>
    </xf>
    <xf numFmtId="43" fontId="1" fillId="0" borderId="0" xfId="1" applyFont="1" applyAlignment="1">
      <alignment horizontal="center"/>
    </xf>
    <xf numFmtId="43" fontId="31" fillId="0" borderId="0" xfId="1" applyFont="1"/>
    <xf numFmtId="0" fontId="9" fillId="0" borderId="0" xfId="0" applyFont="1" applyAlignment="1">
      <alignment horizontal="center" vertical="center"/>
    </xf>
    <xf numFmtId="38" fontId="0" fillId="0" borderId="0" xfId="0" applyNumberFormat="1"/>
    <xf numFmtId="38" fontId="0" fillId="0" borderId="1" xfId="0" applyNumberFormat="1" applyBorder="1"/>
    <xf numFmtId="38" fontId="0" fillId="0" borderId="5" xfId="0" applyNumberFormat="1" applyBorder="1"/>
    <xf numFmtId="43" fontId="9" fillId="3" borderId="2" xfId="1" quotePrefix="1" applyFont="1" applyFill="1" applyBorder="1" applyAlignment="1">
      <alignment horizontal="center"/>
    </xf>
    <xf numFmtId="43" fontId="9" fillId="0" borderId="9" xfId="1" applyFont="1" applyBorder="1"/>
    <xf numFmtId="0" fontId="0" fillId="0" borderId="0" xfId="3" applyFont="1"/>
    <xf numFmtId="10" fontId="0" fillId="0" borderId="0" xfId="4" applyNumberFormat="1" applyFont="1"/>
    <xf numFmtId="43" fontId="9" fillId="4" borderId="0" xfId="1" applyNumberFormat="1" applyFont="1" applyFill="1"/>
    <xf numFmtId="178" fontId="1" fillId="0" borderId="0" xfId="0" applyNumberFormat="1" applyFont="1"/>
    <xf numFmtId="41" fontId="4" fillId="0" borderId="1" xfId="0" applyNumberFormat="1" applyFont="1" applyFill="1" applyBorder="1"/>
    <xf numFmtId="41" fontId="5" fillId="0" borderId="1" xfId="0" applyNumberFormat="1" applyFont="1" applyFill="1" applyBorder="1"/>
    <xf numFmtId="168" fontId="4" fillId="0" borderId="0" xfId="0" applyNumberFormat="1" applyFont="1" applyFill="1"/>
    <xf numFmtId="43" fontId="4" fillId="0" borderId="5" xfId="1" applyFont="1" applyFill="1" applyBorder="1"/>
    <xf numFmtId="0" fontId="12" fillId="0" borderId="0" xfId="0" applyFont="1" applyFill="1"/>
    <xf numFmtId="3" fontId="5" fillId="0" borderId="1" xfId="0" applyNumberFormat="1" applyFont="1" applyFill="1" applyBorder="1"/>
    <xf numFmtId="41" fontId="1" fillId="0" borderId="0" xfId="0" applyNumberFormat="1" applyFont="1" applyFill="1"/>
    <xf numFmtId="0" fontId="11" fillId="0" borderId="0" xfId="0" applyFont="1" applyFill="1"/>
    <xf numFmtId="0" fontId="5" fillId="0" borderId="0" xfId="0" applyFont="1" applyFill="1"/>
    <xf numFmtId="3" fontId="4" fillId="0" borderId="1" xfId="0" applyNumberFormat="1" applyFont="1" applyFill="1" applyBorder="1"/>
    <xf numFmtId="41" fontId="1" fillId="0" borderId="1" xfId="0" applyNumberFormat="1" applyFont="1" applyFill="1" applyBorder="1"/>
    <xf numFmtId="3" fontId="5" fillId="0" borderId="0" xfId="0" applyNumberFormat="1" applyFont="1" applyFill="1"/>
    <xf numFmtId="0" fontId="12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3" fontId="0" fillId="0" borderId="0" xfId="0" applyNumberFormat="1" applyFill="1"/>
    <xf numFmtId="0" fontId="5" fillId="0" borderId="0" xfId="0" quotePrefix="1" applyFont="1" applyFill="1"/>
    <xf numFmtId="41" fontId="5" fillId="0" borderId="0" xfId="0" applyNumberFormat="1" applyFont="1" applyFill="1" applyBorder="1"/>
    <xf numFmtId="41" fontId="4" fillId="0" borderId="0" xfId="0" applyNumberFormat="1" applyFont="1" applyFill="1" applyBorder="1"/>
    <xf numFmtId="3" fontId="1" fillId="0" borderId="0" xfId="0" applyNumberFormat="1" applyFont="1" applyFill="1"/>
    <xf numFmtId="3" fontId="5" fillId="0" borderId="3" xfId="0" applyNumberFormat="1" applyFont="1" applyFill="1" applyBorder="1"/>
    <xf numFmtId="3" fontId="5" fillId="0" borderId="4" xfId="0" applyNumberFormat="1" applyFont="1" applyFill="1" applyBorder="1"/>
    <xf numFmtId="43" fontId="5" fillId="0" borderId="0" xfId="1" applyFont="1" applyFill="1"/>
    <xf numFmtId="43" fontId="6" fillId="0" borderId="2" xfId="1" applyFont="1" applyFill="1" applyBorder="1" applyAlignment="1">
      <alignment horizontal="center"/>
    </xf>
    <xf numFmtId="43" fontId="6" fillId="0" borderId="0" xfId="1" quotePrefix="1" applyFont="1" applyFill="1" applyBorder="1" applyAlignment="1">
      <alignment horizontal="center"/>
    </xf>
    <xf numFmtId="43" fontId="5" fillId="0" borderId="0" xfId="1" applyFont="1" applyFill="1" applyAlignment="1">
      <alignment horizontal="center"/>
    </xf>
    <xf numFmtId="43" fontId="5" fillId="0" borderId="0" xfId="1" applyNumberFormat="1" applyFont="1" applyFill="1"/>
    <xf numFmtId="43" fontId="5" fillId="0" borderId="3" xfId="1" applyFont="1" applyFill="1" applyBorder="1"/>
    <xf numFmtId="43" fontId="0" fillId="0" borderId="0" xfId="1" applyFont="1" applyFill="1"/>
    <xf numFmtId="43" fontId="6" fillId="0" borderId="0" xfId="1" applyFont="1" applyFill="1" applyBorder="1" applyAlignment="1">
      <alignment horizontal="center"/>
    </xf>
    <xf numFmtId="168" fontId="5" fillId="0" borderId="0" xfId="1" applyNumberFormat="1" applyFont="1" applyFill="1"/>
    <xf numFmtId="43" fontId="4" fillId="0" borderId="0" xfId="1" applyFont="1" applyFill="1"/>
    <xf numFmtId="43" fontId="5" fillId="0" borderId="1" xfId="1" applyFont="1" applyFill="1" applyBorder="1"/>
    <xf numFmtId="43" fontId="5" fillId="0" borderId="4" xfId="1" applyFont="1" applyFill="1" applyBorder="1"/>
    <xf numFmtId="37" fontId="0" fillId="0" borderId="0" xfId="0" applyNumberFormat="1" applyFont="1"/>
    <xf numFmtId="0" fontId="14" fillId="0" borderId="0" xfId="0" applyFont="1" applyAlignment="1">
      <alignment horizontal="center"/>
    </xf>
    <xf numFmtId="169" fontId="0" fillId="0" borderId="0" xfId="0" applyNumberFormat="1" applyAlignment="1">
      <alignment horizontal="center"/>
    </xf>
    <xf numFmtId="0" fontId="22" fillId="0" borderId="13" xfId="0" applyFont="1" applyBorder="1" applyAlignment="1">
      <alignment vertical="top"/>
    </xf>
    <xf numFmtId="0" fontId="22" fillId="0" borderId="0" xfId="0" applyFont="1" applyBorder="1" applyAlignment="1">
      <alignment vertical="top"/>
    </xf>
    <xf numFmtId="0" fontId="22" fillId="0" borderId="14" xfId="0" applyFont="1" applyBorder="1" applyAlignment="1">
      <alignment vertical="top"/>
    </xf>
    <xf numFmtId="3" fontId="0" fillId="0" borderId="0" xfId="0" applyNumberFormat="1" applyFont="1" applyAlignment="1">
      <alignment horizontal="right" vertical="center"/>
    </xf>
    <xf numFmtId="3" fontId="0" fillId="0" borderId="0" xfId="0" applyNumberFormat="1" applyFont="1" applyFill="1" applyAlignment="1">
      <alignment horizontal="left" vertical="center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na%20Kingdon\Documents\Budget\2018%20Budget\V2%20FRED%20Revised%20budget%202016%20-%202017.FRED-5%20-%20Feb%2016,%202017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ar Wash-Laundry"/>
      <sheetName val="FRED"/>
      <sheetName val="FR Grocery"/>
      <sheetName val="Bay River Cottage"/>
      <sheetName val="Sheet1"/>
      <sheetName val="Motel"/>
      <sheetName val="Internet"/>
      <sheetName val="Outfitters"/>
      <sheetName val="CASTLE"/>
      <sheetName val="Sheet2"/>
    </sheetNames>
    <sheetDataSet>
      <sheetData sheetId="0" refreshError="1"/>
      <sheetData sheetId="1">
        <row r="13">
          <cell r="B13">
            <v>5500</v>
          </cell>
          <cell r="C13">
            <v>5500</v>
          </cell>
          <cell r="D13">
            <v>5500</v>
          </cell>
          <cell r="E13">
            <v>5500</v>
          </cell>
          <cell r="F13">
            <v>5500</v>
          </cell>
          <cell r="G13">
            <v>5500</v>
          </cell>
          <cell r="H13">
            <v>5500</v>
          </cell>
          <cell r="I13">
            <v>5500</v>
          </cell>
          <cell r="J13">
            <v>5500</v>
          </cell>
          <cell r="K13">
            <v>5500</v>
          </cell>
          <cell r="L13">
            <v>5500</v>
          </cell>
          <cell r="M13">
            <v>5500</v>
          </cell>
        </row>
        <row r="43">
          <cell r="B43">
            <v>14262.23</v>
          </cell>
          <cell r="C43">
            <v>10812.23</v>
          </cell>
          <cell r="D43">
            <v>11212.23</v>
          </cell>
          <cell r="E43">
            <v>13504.31</v>
          </cell>
          <cell r="F43">
            <v>11712.23</v>
          </cell>
          <cell r="G43">
            <v>10812.23</v>
          </cell>
          <cell r="H43">
            <v>11262.23</v>
          </cell>
          <cell r="I43">
            <v>11132.23</v>
          </cell>
          <cell r="J43">
            <v>14174.31</v>
          </cell>
          <cell r="K43">
            <v>11182.23</v>
          </cell>
          <cell r="L43">
            <v>11532.23</v>
          </cell>
          <cell r="M43">
            <v>11132.23</v>
          </cell>
        </row>
      </sheetData>
      <sheetData sheetId="2">
        <row r="15">
          <cell r="B15">
            <v>33445.873333333329</v>
          </cell>
          <cell r="C15">
            <v>33445.873333333329</v>
          </cell>
          <cell r="D15">
            <v>33445.873333333329</v>
          </cell>
          <cell r="E15">
            <v>33445.873333333329</v>
          </cell>
          <cell r="F15">
            <v>33445.873333333329</v>
          </cell>
          <cell r="G15">
            <v>33445.873333333329</v>
          </cell>
          <cell r="H15">
            <v>33445.873333333329</v>
          </cell>
          <cell r="I15">
            <v>33445.873333333329</v>
          </cell>
          <cell r="J15">
            <v>33445.873333333329</v>
          </cell>
          <cell r="K15">
            <v>33445.873333333329</v>
          </cell>
          <cell r="L15">
            <v>33445.873333333329</v>
          </cell>
          <cell r="M15">
            <v>33445.873333333329</v>
          </cell>
        </row>
        <row r="60">
          <cell r="B60">
            <v>35919.418461538458</v>
          </cell>
          <cell r="C60">
            <v>34815.418461538458</v>
          </cell>
          <cell r="D60">
            <v>33015.418461538458</v>
          </cell>
          <cell r="E60">
            <v>40216.027692307689</v>
          </cell>
          <cell r="F60">
            <v>33015.418461538458</v>
          </cell>
          <cell r="G60">
            <v>33015.418461538458</v>
          </cell>
          <cell r="H60">
            <v>34815.418461538458</v>
          </cell>
          <cell r="I60">
            <v>33015.418461538458</v>
          </cell>
          <cell r="J60">
            <v>40216.027692307689</v>
          </cell>
          <cell r="K60">
            <v>33015.418461538458</v>
          </cell>
          <cell r="L60">
            <v>33015.418461538458</v>
          </cell>
          <cell r="M60">
            <v>49807.418461538458</v>
          </cell>
        </row>
      </sheetData>
      <sheetData sheetId="3">
        <row r="16">
          <cell r="B16">
            <v>41386.833333333336</v>
          </cell>
          <cell r="C16">
            <v>41386.833333333336</v>
          </cell>
          <cell r="D16">
            <v>41386.833333333336</v>
          </cell>
          <cell r="E16">
            <v>41386.833333333336</v>
          </cell>
          <cell r="F16">
            <v>41386.833333333336</v>
          </cell>
          <cell r="G16">
            <v>41386.833333333336</v>
          </cell>
          <cell r="H16">
            <v>41386.833333333336</v>
          </cell>
          <cell r="I16">
            <v>41387.833333333336</v>
          </cell>
          <cell r="J16">
            <v>41387.833333333336</v>
          </cell>
          <cell r="K16">
            <v>41387.833333333336</v>
          </cell>
          <cell r="L16">
            <v>41387.833333333336</v>
          </cell>
          <cell r="M16">
            <v>41387.833333333336</v>
          </cell>
        </row>
        <row r="40">
          <cell r="B40">
            <v>44196.083333333336</v>
          </cell>
          <cell r="C40">
            <v>40040.083333333328</v>
          </cell>
          <cell r="D40">
            <v>40040.083333333328</v>
          </cell>
          <cell r="E40">
            <v>35791.416666666664</v>
          </cell>
          <cell r="F40">
            <v>35791.416666666664</v>
          </cell>
          <cell r="G40">
            <v>35791.416666666664</v>
          </cell>
          <cell r="H40">
            <v>35791.416666666664</v>
          </cell>
          <cell r="I40">
            <v>35791.416666666664</v>
          </cell>
          <cell r="J40">
            <v>35791.416666666664</v>
          </cell>
          <cell r="K40">
            <v>35791.416666666664</v>
          </cell>
          <cell r="L40">
            <v>35791.416666666664</v>
          </cell>
          <cell r="M40">
            <v>35791.416666666664</v>
          </cell>
        </row>
      </sheetData>
      <sheetData sheetId="4"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14000</v>
          </cell>
          <cell r="H17">
            <v>46000</v>
          </cell>
          <cell r="I17">
            <v>14000</v>
          </cell>
          <cell r="J17">
            <v>0</v>
          </cell>
          <cell r="K17">
            <v>0</v>
          </cell>
          <cell r="L17">
            <v>14000</v>
          </cell>
          <cell r="M17">
            <v>390000</v>
          </cell>
        </row>
        <row r="34">
          <cell r="B34">
            <v>3715.7743999999998</v>
          </cell>
          <cell r="C34">
            <v>3515.7743999999998</v>
          </cell>
          <cell r="D34">
            <v>3515.7743999999998</v>
          </cell>
          <cell r="E34">
            <v>92577.161600000007</v>
          </cell>
          <cell r="F34">
            <v>91761.774399999995</v>
          </cell>
          <cell r="G34">
            <v>94241.774399999995</v>
          </cell>
          <cell r="H34">
            <v>10526.7744</v>
          </cell>
          <cell r="I34">
            <v>5586.7744000000002</v>
          </cell>
          <cell r="J34">
            <v>6222.1616000000004</v>
          </cell>
          <cell r="K34">
            <v>6306.7744000000002</v>
          </cell>
          <cell r="L34">
            <v>6106.7744000000002</v>
          </cell>
          <cell r="M34">
            <v>5606.7744000000002</v>
          </cell>
        </row>
      </sheetData>
      <sheetData sheetId="5" refreshError="1"/>
      <sheetData sheetId="6">
        <row r="20">
          <cell r="B20">
            <v>26336</v>
          </cell>
          <cell r="C20">
            <v>26336</v>
          </cell>
          <cell r="D20">
            <v>26336</v>
          </cell>
          <cell r="E20">
            <v>26336</v>
          </cell>
          <cell r="F20">
            <v>26336</v>
          </cell>
          <cell r="G20">
            <v>26336</v>
          </cell>
          <cell r="H20">
            <v>26336</v>
          </cell>
          <cell r="I20">
            <v>26336</v>
          </cell>
          <cell r="J20">
            <v>26336</v>
          </cell>
          <cell r="K20">
            <v>26336</v>
          </cell>
          <cell r="L20">
            <v>26336</v>
          </cell>
          <cell r="M20">
            <v>26336</v>
          </cell>
        </row>
        <row r="50">
          <cell r="B50">
            <v>29248.84</v>
          </cell>
          <cell r="C50">
            <v>28948.84</v>
          </cell>
          <cell r="D50">
            <v>28948.84</v>
          </cell>
          <cell r="E50">
            <v>34007.35</v>
          </cell>
          <cell r="F50">
            <v>43707.35</v>
          </cell>
          <cell r="G50">
            <v>33707.35</v>
          </cell>
          <cell r="H50">
            <v>34007.35</v>
          </cell>
          <cell r="I50">
            <v>33707.35</v>
          </cell>
          <cell r="J50">
            <v>33707.35</v>
          </cell>
          <cell r="K50">
            <v>34007.35</v>
          </cell>
          <cell r="L50">
            <v>33707.35</v>
          </cell>
          <cell r="M50">
            <v>33707.35</v>
          </cell>
        </row>
      </sheetData>
      <sheetData sheetId="7">
        <row r="13">
          <cell r="B13">
            <v>2423</v>
          </cell>
          <cell r="C13">
            <v>2423</v>
          </cell>
          <cell r="D13">
            <v>2423</v>
          </cell>
          <cell r="E13">
            <v>2423</v>
          </cell>
          <cell r="F13">
            <v>2423</v>
          </cell>
          <cell r="G13">
            <v>2423</v>
          </cell>
          <cell r="H13">
            <v>2423</v>
          </cell>
          <cell r="I13">
            <v>2423</v>
          </cell>
          <cell r="J13">
            <v>2423</v>
          </cell>
          <cell r="K13">
            <v>2423</v>
          </cell>
          <cell r="L13">
            <v>2423</v>
          </cell>
          <cell r="M13">
            <v>2423</v>
          </cell>
        </row>
        <row r="25">
          <cell r="B25">
            <v>3100</v>
          </cell>
          <cell r="C25">
            <v>2700</v>
          </cell>
          <cell r="D25">
            <v>2700</v>
          </cell>
          <cell r="E25">
            <v>3100</v>
          </cell>
          <cell r="F25">
            <v>2700</v>
          </cell>
          <cell r="G25">
            <v>2700</v>
          </cell>
          <cell r="H25">
            <v>3100</v>
          </cell>
          <cell r="I25">
            <v>2700</v>
          </cell>
          <cell r="J25">
            <v>2700</v>
          </cell>
          <cell r="K25">
            <v>3100</v>
          </cell>
          <cell r="L25">
            <v>2700</v>
          </cell>
          <cell r="M25">
            <v>2700</v>
          </cell>
        </row>
      </sheetData>
      <sheetData sheetId="8">
        <row r="17">
          <cell r="B17">
            <v>4680</v>
          </cell>
          <cell r="C17">
            <v>4680</v>
          </cell>
          <cell r="D17">
            <v>0</v>
          </cell>
          <cell r="E17">
            <v>0</v>
          </cell>
          <cell r="F17">
            <v>4680</v>
          </cell>
          <cell r="G17">
            <v>10920</v>
          </cell>
          <cell r="H17">
            <v>3120</v>
          </cell>
          <cell r="I17">
            <v>6240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59">
          <cell r="B59">
            <v>11820</v>
          </cell>
          <cell r="C59">
            <v>3120</v>
          </cell>
          <cell r="D59">
            <v>0</v>
          </cell>
          <cell r="E59">
            <v>0</v>
          </cell>
          <cell r="F59">
            <v>3120</v>
          </cell>
          <cell r="G59">
            <v>7280</v>
          </cell>
          <cell r="H59">
            <v>2080</v>
          </cell>
          <cell r="I59">
            <v>4160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</sheetData>
      <sheetData sheetId="9">
        <row r="20">
          <cell r="B20">
            <v>120733.21</v>
          </cell>
          <cell r="C20">
            <v>91192.21</v>
          </cell>
          <cell r="D20">
            <v>105306.87240000001</v>
          </cell>
          <cell r="E20">
            <v>189432.8432</v>
          </cell>
          <cell r="F20">
            <v>105533.556</v>
          </cell>
          <cell r="G20">
            <v>105533.84999999999</v>
          </cell>
          <cell r="H20">
            <v>92973.555999999982</v>
          </cell>
          <cell r="I20">
            <v>92973.555999999982</v>
          </cell>
          <cell r="J20">
            <v>57603.05599999999</v>
          </cell>
          <cell r="K20">
            <v>57603.05599999999</v>
          </cell>
          <cell r="L20">
            <v>57603.05599999999</v>
          </cell>
          <cell r="M20">
            <v>57603.05599999999</v>
          </cell>
        </row>
        <row r="40">
          <cell r="B40">
            <v>44942.629333333338</v>
          </cell>
          <cell r="C40">
            <v>45032.92333333334</v>
          </cell>
          <cell r="D40">
            <v>45302.629153333335</v>
          </cell>
          <cell r="E40">
            <v>45861.475333333343</v>
          </cell>
          <cell r="F40">
            <v>45306.965593333334</v>
          </cell>
          <cell r="G40">
            <v>45306.965593333334</v>
          </cell>
          <cell r="H40">
            <v>45066.965593333334</v>
          </cell>
          <cell r="I40">
            <v>45066.965593333334</v>
          </cell>
          <cell r="J40">
            <v>45066.965593333334</v>
          </cell>
          <cell r="K40">
            <v>45066.965593333334</v>
          </cell>
          <cell r="L40">
            <v>45066.965593333334</v>
          </cell>
          <cell r="M40">
            <v>53566.965593333334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7:J52"/>
  <sheetViews>
    <sheetView tabSelected="1" view="pageLayout" topLeftCell="A11" zoomScaleNormal="150" workbookViewId="0">
      <selection activeCell="D23" sqref="D23"/>
    </sheetView>
  </sheetViews>
  <sheetFormatPr defaultRowHeight="12.75"/>
  <cols>
    <col min="1" max="1" width="6" customWidth="1"/>
    <col min="2" max="2" width="11.28515625" customWidth="1"/>
    <col min="5" max="5" width="4.5703125" customWidth="1"/>
    <col min="6" max="6" width="7.28515625" customWidth="1"/>
    <col min="8" max="8" width="10.28515625" customWidth="1"/>
  </cols>
  <sheetData>
    <row r="17" spans="3:8" ht="23.25" customHeight="1">
      <c r="C17" s="1"/>
      <c r="D17" s="1" t="s">
        <v>1817</v>
      </c>
    </row>
    <row r="18" spans="3:8" ht="23.25" customHeight="1">
      <c r="C18" s="1"/>
      <c r="D18" s="1" t="s">
        <v>1713</v>
      </c>
    </row>
    <row r="20" spans="3:8">
      <c r="D20" s="2"/>
    </row>
    <row r="26" spans="3:8">
      <c r="D26" s="3"/>
      <c r="E26" s="3"/>
      <c r="F26" s="3"/>
      <c r="G26" s="3"/>
      <c r="H26" s="3"/>
    </row>
    <row r="33" spans="2:10">
      <c r="D33" s="4"/>
      <c r="E33" s="4"/>
      <c r="F33" s="4"/>
      <c r="G33" s="4"/>
      <c r="H33" s="4"/>
    </row>
    <row r="38" spans="2:10">
      <c r="B38" s="5"/>
      <c r="C38" s="5"/>
      <c r="D38" s="5"/>
      <c r="E38" s="3"/>
      <c r="G38" s="5"/>
      <c r="H38" s="5"/>
      <c r="I38" s="5"/>
      <c r="J38" s="3"/>
    </row>
    <row r="39" spans="2:10">
      <c r="B39" s="3"/>
      <c r="J39" s="3"/>
    </row>
    <row r="40" spans="2:10">
      <c r="B40" s="3"/>
      <c r="J40" s="3"/>
    </row>
    <row r="41" spans="2:10">
      <c r="B41" s="3"/>
      <c r="J41" s="3"/>
    </row>
    <row r="42" spans="2:10">
      <c r="B42" s="3"/>
      <c r="J42" s="3"/>
    </row>
    <row r="43" spans="2:10">
      <c r="B43" s="5"/>
      <c r="C43" s="5"/>
      <c r="D43" s="5"/>
      <c r="E43" s="3"/>
      <c r="G43" s="5"/>
      <c r="H43" s="5"/>
      <c r="I43" s="5"/>
      <c r="J43" s="3"/>
    </row>
    <row r="44" spans="2:10">
      <c r="B44" s="3"/>
      <c r="J44" s="3"/>
    </row>
    <row r="50" spans="5:6">
      <c r="E50" s="2"/>
      <c r="F50" s="2"/>
    </row>
    <row r="52" spans="5:6">
      <c r="E52" s="6"/>
    </row>
  </sheetData>
  <pageMargins left="0.74803149606299213" right="0.74803149606299213" top="0.98425196850393704" bottom="0.98425196850393704" header="0.51181102362204722" footer="0.51181102362204722"/>
  <pageSetup orientation="portrait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5"/>
  <sheetViews>
    <sheetView workbookViewId="0">
      <selection activeCell="A4" sqref="A4:E4"/>
    </sheetView>
  </sheetViews>
  <sheetFormatPr defaultRowHeight="12.75"/>
  <cols>
    <col min="1" max="1" width="46.42578125" bestFit="1" customWidth="1"/>
    <col min="2" max="2" width="8.7109375" customWidth="1"/>
    <col min="3" max="4" width="14.28515625" hidden="1" customWidth="1"/>
    <col min="5" max="5" width="14.28515625" customWidth="1"/>
    <col min="6" max="6" width="10.7109375" style="59" bestFit="1" customWidth="1"/>
    <col min="7" max="7" width="23.42578125" customWidth="1"/>
    <col min="255" max="255" width="46.42578125" bestFit="1" customWidth="1"/>
    <col min="256" max="256" width="8.7109375" customWidth="1"/>
    <col min="257" max="261" width="14.28515625" customWidth="1"/>
    <col min="511" max="511" width="46.42578125" bestFit="1" customWidth="1"/>
    <col min="512" max="512" width="8.7109375" customWidth="1"/>
    <col min="513" max="517" width="14.28515625" customWidth="1"/>
    <col min="767" max="767" width="46.42578125" bestFit="1" customWidth="1"/>
    <col min="768" max="768" width="8.7109375" customWidth="1"/>
    <col min="769" max="773" width="14.28515625" customWidth="1"/>
    <col min="1023" max="1023" width="46.42578125" bestFit="1" customWidth="1"/>
    <col min="1024" max="1024" width="8.7109375" customWidth="1"/>
    <col min="1025" max="1029" width="14.28515625" customWidth="1"/>
    <col min="1279" max="1279" width="46.42578125" bestFit="1" customWidth="1"/>
    <col min="1280" max="1280" width="8.7109375" customWidth="1"/>
    <col min="1281" max="1285" width="14.28515625" customWidth="1"/>
    <col min="1535" max="1535" width="46.42578125" bestFit="1" customWidth="1"/>
    <col min="1536" max="1536" width="8.7109375" customWidth="1"/>
    <col min="1537" max="1541" width="14.28515625" customWidth="1"/>
    <col min="1791" max="1791" width="46.42578125" bestFit="1" customWidth="1"/>
    <col min="1792" max="1792" width="8.7109375" customWidth="1"/>
    <col min="1793" max="1797" width="14.28515625" customWidth="1"/>
    <col min="2047" max="2047" width="46.42578125" bestFit="1" customWidth="1"/>
    <col min="2048" max="2048" width="8.7109375" customWidth="1"/>
    <col min="2049" max="2053" width="14.28515625" customWidth="1"/>
    <col min="2303" max="2303" width="46.42578125" bestFit="1" customWidth="1"/>
    <col min="2304" max="2304" width="8.7109375" customWidth="1"/>
    <col min="2305" max="2309" width="14.28515625" customWidth="1"/>
    <col min="2559" max="2559" width="46.42578125" bestFit="1" customWidth="1"/>
    <col min="2560" max="2560" width="8.7109375" customWidth="1"/>
    <col min="2561" max="2565" width="14.28515625" customWidth="1"/>
    <col min="2815" max="2815" width="46.42578125" bestFit="1" customWidth="1"/>
    <col min="2816" max="2816" width="8.7109375" customWidth="1"/>
    <col min="2817" max="2821" width="14.28515625" customWidth="1"/>
    <col min="3071" max="3071" width="46.42578125" bestFit="1" customWidth="1"/>
    <col min="3072" max="3072" width="8.7109375" customWidth="1"/>
    <col min="3073" max="3077" width="14.28515625" customWidth="1"/>
    <col min="3327" max="3327" width="46.42578125" bestFit="1" customWidth="1"/>
    <col min="3328" max="3328" width="8.7109375" customWidth="1"/>
    <col min="3329" max="3333" width="14.28515625" customWidth="1"/>
    <col min="3583" max="3583" width="46.42578125" bestFit="1" customWidth="1"/>
    <col min="3584" max="3584" width="8.7109375" customWidth="1"/>
    <col min="3585" max="3589" width="14.28515625" customWidth="1"/>
    <col min="3839" max="3839" width="46.42578125" bestFit="1" customWidth="1"/>
    <col min="3840" max="3840" width="8.7109375" customWidth="1"/>
    <col min="3841" max="3845" width="14.28515625" customWidth="1"/>
    <col min="4095" max="4095" width="46.42578125" bestFit="1" customWidth="1"/>
    <col min="4096" max="4096" width="8.7109375" customWidth="1"/>
    <col min="4097" max="4101" width="14.28515625" customWidth="1"/>
    <col min="4351" max="4351" width="46.42578125" bestFit="1" customWidth="1"/>
    <col min="4352" max="4352" width="8.7109375" customWidth="1"/>
    <col min="4353" max="4357" width="14.28515625" customWidth="1"/>
    <col min="4607" max="4607" width="46.42578125" bestFit="1" customWidth="1"/>
    <col min="4608" max="4608" width="8.7109375" customWidth="1"/>
    <col min="4609" max="4613" width="14.28515625" customWidth="1"/>
    <col min="4863" max="4863" width="46.42578125" bestFit="1" customWidth="1"/>
    <col min="4864" max="4864" width="8.7109375" customWidth="1"/>
    <col min="4865" max="4869" width="14.28515625" customWidth="1"/>
    <col min="5119" max="5119" width="46.42578125" bestFit="1" customWidth="1"/>
    <col min="5120" max="5120" width="8.7109375" customWidth="1"/>
    <col min="5121" max="5125" width="14.28515625" customWidth="1"/>
    <col min="5375" max="5375" width="46.42578125" bestFit="1" customWidth="1"/>
    <col min="5376" max="5376" width="8.7109375" customWidth="1"/>
    <col min="5377" max="5381" width="14.28515625" customWidth="1"/>
    <col min="5631" max="5631" width="46.42578125" bestFit="1" customWidth="1"/>
    <col min="5632" max="5632" width="8.7109375" customWidth="1"/>
    <col min="5633" max="5637" width="14.28515625" customWidth="1"/>
    <col min="5887" max="5887" width="46.42578125" bestFit="1" customWidth="1"/>
    <col min="5888" max="5888" width="8.7109375" customWidth="1"/>
    <col min="5889" max="5893" width="14.28515625" customWidth="1"/>
    <col min="6143" max="6143" width="46.42578125" bestFit="1" customWidth="1"/>
    <col min="6144" max="6144" width="8.7109375" customWidth="1"/>
    <col min="6145" max="6149" width="14.28515625" customWidth="1"/>
    <col min="6399" max="6399" width="46.42578125" bestFit="1" customWidth="1"/>
    <col min="6400" max="6400" width="8.7109375" customWidth="1"/>
    <col min="6401" max="6405" width="14.28515625" customWidth="1"/>
    <col min="6655" max="6655" width="46.42578125" bestFit="1" customWidth="1"/>
    <col min="6656" max="6656" width="8.7109375" customWidth="1"/>
    <col min="6657" max="6661" width="14.28515625" customWidth="1"/>
    <col min="6911" max="6911" width="46.42578125" bestFit="1" customWidth="1"/>
    <col min="6912" max="6912" width="8.7109375" customWidth="1"/>
    <col min="6913" max="6917" width="14.28515625" customWidth="1"/>
    <col min="7167" max="7167" width="46.42578125" bestFit="1" customWidth="1"/>
    <col min="7168" max="7168" width="8.7109375" customWidth="1"/>
    <col min="7169" max="7173" width="14.28515625" customWidth="1"/>
    <col min="7423" max="7423" width="46.42578125" bestFit="1" customWidth="1"/>
    <col min="7424" max="7424" width="8.7109375" customWidth="1"/>
    <col min="7425" max="7429" width="14.28515625" customWidth="1"/>
    <col min="7679" max="7679" width="46.42578125" bestFit="1" customWidth="1"/>
    <col min="7680" max="7680" width="8.7109375" customWidth="1"/>
    <col min="7681" max="7685" width="14.28515625" customWidth="1"/>
    <col min="7935" max="7935" width="46.42578125" bestFit="1" customWidth="1"/>
    <col min="7936" max="7936" width="8.7109375" customWidth="1"/>
    <col min="7937" max="7941" width="14.28515625" customWidth="1"/>
    <col min="8191" max="8191" width="46.42578125" bestFit="1" customWidth="1"/>
    <col min="8192" max="8192" width="8.7109375" customWidth="1"/>
    <col min="8193" max="8197" width="14.28515625" customWidth="1"/>
    <col min="8447" max="8447" width="46.42578125" bestFit="1" customWidth="1"/>
    <col min="8448" max="8448" width="8.7109375" customWidth="1"/>
    <col min="8449" max="8453" width="14.28515625" customWidth="1"/>
    <col min="8703" max="8703" width="46.42578125" bestFit="1" customWidth="1"/>
    <col min="8704" max="8704" width="8.7109375" customWidth="1"/>
    <col min="8705" max="8709" width="14.28515625" customWidth="1"/>
    <col min="8959" max="8959" width="46.42578125" bestFit="1" customWidth="1"/>
    <col min="8960" max="8960" width="8.7109375" customWidth="1"/>
    <col min="8961" max="8965" width="14.28515625" customWidth="1"/>
    <col min="9215" max="9215" width="46.42578125" bestFit="1" customWidth="1"/>
    <col min="9216" max="9216" width="8.7109375" customWidth="1"/>
    <col min="9217" max="9221" width="14.28515625" customWidth="1"/>
    <col min="9471" max="9471" width="46.42578125" bestFit="1" customWidth="1"/>
    <col min="9472" max="9472" width="8.7109375" customWidth="1"/>
    <col min="9473" max="9477" width="14.28515625" customWidth="1"/>
    <col min="9727" max="9727" width="46.42578125" bestFit="1" customWidth="1"/>
    <col min="9728" max="9728" width="8.7109375" customWidth="1"/>
    <col min="9729" max="9733" width="14.28515625" customWidth="1"/>
    <col min="9983" max="9983" width="46.42578125" bestFit="1" customWidth="1"/>
    <col min="9984" max="9984" width="8.7109375" customWidth="1"/>
    <col min="9985" max="9989" width="14.28515625" customWidth="1"/>
    <col min="10239" max="10239" width="46.42578125" bestFit="1" customWidth="1"/>
    <col min="10240" max="10240" width="8.7109375" customWidth="1"/>
    <col min="10241" max="10245" width="14.28515625" customWidth="1"/>
    <col min="10495" max="10495" width="46.42578125" bestFit="1" customWidth="1"/>
    <col min="10496" max="10496" width="8.7109375" customWidth="1"/>
    <col min="10497" max="10501" width="14.28515625" customWidth="1"/>
    <col min="10751" max="10751" width="46.42578125" bestFit="1" customWidth="1"/>
    <col min="10752" max="10752" width="8.7109375" customWidth="1"/>
    <col min="10753" max="10757" width="14.28515625" customWidth="1"/>
    <col min="11007" max="11007" width="46.42578125" bestFit="1" customWidth="1"/>
    <col min="11008" max="11008" width="8.7109375" customWidth="1"/>
    <col min="11009" max="11013" width="14.28515625" customWidth="1"/>
    <col min="11263" max="11263" width="46.42578125" bestFit="1" customWidth="1"/>
    <col min="11264" max="11264" width="8.7109375" customWidth="1"/>
    <col min="11265" max="11269" width="14.28515625" customWidth="1"/>
    <col min="11519" max="11519" width="46.42578125" bestFit="1" customWidth="1"/>
    <col min="11520" max="11520" width="8.7109375" customWidth="1"/>
    <col min="11521" max="11525" width="14.28515625" customWidth="1"/>
    <col min="11775" max="11775" width="46.42578125" bestFit="1" customWidth="1"/>
    <col min="11776" max="11776" width="8.7109375" customWidth="1"/>
    <col min="11777" max="11781" width="14.28515625" customWidth="1"/>
    <col min="12031" max="12031" width="46.42578125" bestFit="1" customWidth="1"/>
    <col min="12032" max="12032" width="8.7109375" customWidth="1"/>
    <col min="12033" max="12037" width="14.28515625" customWidth="1"/>
    <col min="12287" max="12287" width="46.42578125" bestFit="1" customWidth="1"/>
    <col min="12288" max="12288" width="8.7109375" customWidth="1"/>
    <col min="12289" max="12293" width="14.28515625" customWidth="1"/>
    <col min="12543" max="12543" width="46.42578125" bestFit="1" customWidth="1"/>
    <col min="12544" max="12544" width="8.7109375" customWidth="1"/>
    <col min="12545" max="12549" width="14.28515625" customWidth="1"/>
    <col min="12799" max="12799" width="46.42578125" bestFit="1" customWidth="1"/>
    <col min="12800" max="12800" width="8.7109375" customWidth="1"/>
    <col min="12801" max="12805" width="14.28515625" customWidth="1"/>
    <col min="13055" max="13055" width="46.42578125" bestFit="1" customWidth="1"/>
    <col min="13056" max="13056" width="8.7109375" customWidth="1"/>
    <col min="13057" max="13061" width="14.28515625" customWidth="1"/>
    <col min="13311" max="13311" width="46.42578125" bestFit="1" customWidth="1"/>
    <col min="13312" max="13312" width="8.7109375" customWidth="1"/>
    <col min="13313" max="13317" width="14.28515625" customWidth="1"/>
    <col min="13567" max="13567" width="46.42578125" bestFit="1" customWidth="1"/>
    <col min="13568" max="13568" width="8.7109375" customWidth="1"/>
    <col min="13569" max="13573" width="14.28515625" customWidth="1"/>
    <col min="13823" max="13823" width="46.42578125" bestFit="1" customWidth="1"/>
    <col min="13824" max="13824" width="8.7109375" customWidth="1"/>
    <col min="13825" max="13829" width="14.28515625" customWidth="1"/>
    <col min="14079" max="14079" width="46.42578125" bestFit="1" customWidth="1"/>
    <col min="14080" max="14080" width="8.7109375" customWidth="1"/>
    <col min="14081" max="14085" width="14.28515625" customWidth="1"/>
    <col min="14335" max="14335" width="46.42578125" bestFit="1" customWidth="1"/>
    <col min="14336" max="14336" width="8.7109375" customWidth="1"/>
    <col min="14337" max="14341" width="14.28515625" customWidth="1"/>
    <col min="14591" max="14591" width="46.42578125" bestFit="1" customWidth="1"/>
    <col min="14592" max="14592" width="8.7109375" customWidth="1"/>
    <col min="14593" max="14597" width="14.28515625" customWidth="1"/>
    <col min="14847" max="14847" width="46.42578125" bestFit="1" customWidth="1"/>
    <col min="14848" max="14848" width="8.7109375" customWidth="1"/>
    <col min="14849" max="14853" width="14.28515625" customWidth="1"/>
    <col min="15103" max="15103" width="46.42578125" bestFit="1" customWidth="1"/>
    <col min="15104" max="15104" width="8.7109375" customWidth="1"/>
    <col min="15105" max="15109" width="14.28515625" customWidth="1"/>
    <col min="15359" max="15359" width="46.42578125" bestFit="1" customWidth="1"/>
    <col min="15360" max="15360" width="8.7109375" customWidth="1"/>
    <col min="15361" max="15365" width="14.28515625" customWidth="1"/>
    <col min="15615" max="15615" width="46.42578125" bestFit="1" customWidth="1"/>
    <col min="15616" max="15616" width="8.7109375" customWidth="1"/>
    <col min="15617" max="15621" width="14.28515625" customWidth="1"/>
    <col min="15871" max="15871" width="46.42578125" bestFit="1" customWidth="1"/>
    <col min="15872" max="15872" width="8.7109375" customWidth="1"/>
    <col min="15873" max="15877" width="14.28515625" customWidth="1"/>
    <col min="16127" max="16127" width="46.42578125" bestFit="1" customWidth="1"/>
    <col min="16128" max="16128" width="8.7109375" customWidth="1"/>
    <col min="16129" max="16133" width="14.28515625" customWidth="1"/>
  </cols>
  <sheetData>
    <row r="3" spans="1:7" ht="15">
      <c r="A3" s="35" t="s">
        <v>1825</v>
      </c>
      <c r="B3" s="34"/>
      <c r="C3" s="34"/>
      <c r="D3" s="34"/>
      <c r="E3" s="34"/>
    </row>
    <row r="4" spans="1:7" ht="15">
      <c r="A4" s="341" t="s">
        <v>334</v>
      </c>
      <c r="B4" s="341"/>
      <c r="C4" s="341"/>
      <c r="D4" s="341"/>
      <c r="E4" s="341"/>
    </row>
    <row r="5" spans="1:7" ht="15" hidden="1">
      <c r="A5" s="36" t="s">
        <v>54</v>
      </c>
      <c r="B5" s="34"/>
      <c r="C5" s="34"/>
      <c r="D5" s="34"/>
      <c r="E5" s="34"/>
    </row>
    <row r="6" spans="1:7" hidden="1">
      <c r="A6" s="37" t="s">
        <v>54</v>
      </c>
      <c r="B6" s="34"/>
      <c r="C6" s="34"/>
      <c r="D6" s="34"/>
      <c r="E6" s="34"/>
    </row>
    <row r="7" spans="1:7" hidden="1">
      <c r="A7" s="342">
        <v>42460</v>
      </c>
      <c r="B7" s="342"/>
      <c r="C7" s="342"/>
      <c r="D7" s="342"/>
      <c r="E7" s="342"/>
    </row>
    <row r="8" spans="1:7">
      <c r="A8" s="38"/>
      <c r="B8" s="38"/>
      <c r="C8" s="38"/>
      <c r="D8" s="38"/>
      <c r="E8" s="38"/>
    </row>
    <row r="9" spans="1:7" ht="13.5" thickBot="1">
      <c r="C9" s="17" t="s">
        <v>251</v>
      </c>
      <c r="D9" s="17" t="s">
        <v>251</v>
      </c>
      <c r="E9" s="17" t="s">
        <v>44</v>
      </c>
      <c r="F9" s="248" t="s">
        <v>1701</v>
      </c>
    </row>
    <row r="10" spans="1:7" ht="13.5" thickTop="1">
      <c r="A10" s="39"/>
      <c r="B10" s="40"/>
      <c r="C10" s="41" t="s">
        <v>55</v>
      </c>
      <c r="D10" s="41" t="s">
        <v>55</v>
      </c>
      <c r="E10" s="41"/>
      <c r="F10" s="61"/>
    </row>
    <row r="11" spans="1:7" ht="13.5" thickBot="1">
      <c r="A11" s="42"/>
      <c r="B11" s="43"/>
      <c r="C11" s="44" t="s">
        <v>58</v>
      </c>
      <c r="D11" s="44" t="s">
        <v>59</v>
      </c>
      <c r="E11" s="44" t="s">
        <v>57</v>
      </c>
      <c r="F11" s="62" t="s">
        <v>57</v>
      </c>
      <c r="G11" s="55" t="s">
        <v>252</v>
      </c>
    </row>
    <row r="12" spans="1:7" ht="13.5" thickTop="1">
      <c r="A12" s="45" t="s">
        <v>60</v>
      </c>
      <c r="B12" s="46"/>
      <c r="C12" s="47"/>
      <c r="D12" s="47"/>
      <c r="E12" s="47"/>
    </row>
    <row r="13" spans="1:7">
      <c r="A13" s="30" t="s">
        <v>335</v>
      </c>
      <c r="B13" s="30" t="s">
        <v>336</v>
      </c>
      <c r="C13" s="56">
        <v>0</v>
      </c>
      <c r="D13" s="56">
        <v>200000</v>
      </c>
      <c r="E13" s="56">
        <v>200000</v>
      </c>
      <c r="F13" s="59">
        <f>'Fund Distributions'!L37</f>
        <v>200000</v>
      </c>
    </row>
    <row r="14" spans="1:7">
      <c r="A14" s="30"/>
      <c r="B14" s="30"/>
      <c r="C14" s="56"/>
      <c r="D14" s="56"/>
      <c r="E14" s="56"/>
    </row>
    <row r="15" spans="1:7">
      <c r="A15" s="49" t="s">
        <v>115</v>
      </c>
      <c r="B15" s="50"/>
      <c r="C15" s="57">
        <v>0</v>
      </c>
      <c r="D15" s="57">
        <v>200000</v>
      </c>
      <c r="E15" s="57">
        <v>200000</v>
      </c>
      <c r="F15" s="73">
        <f>SUM(F13:F14)</f>
        <v>200000</v>
      </c>
    </row>
    <row r="16" spans="1:7">
      <c r="A16" s="46"/>
      <c r="C16" s="56"/>
      <c r="D16" s="56"/>
      <c r="E16" s="56"/>
    </row>
    <row r="17" spans="1:6">
      <c r="A17" s="45" t="s">
        <v>116</v>
      </c>
      <c r="C17" s="56"/>
      <c r="D17" s="56"/>
      <c r="E17" s="56"/>
    </row>
    <row r="18" spans="1:6">
      <c r="A18" s="30" t="s">
        <v>337</v>
      </c>
      <c r="B18" s="30" t="s">
        <v>338</v>
      </c>
      <c r="C18" s="56">
        <v>0</v>
      </c>
      <c r="D18" s="56">
        <v>10000</v>
      </c>
      <c r="E18" s="56">
        <v>10000</v>
      </c>
      <c r="F18" s="59">
        <f>E18</f>
        <v>10000</v>
      </c>
    </row>
    <row r="19" spans="1:6">
      <c r="A19" s="30" t="s">
        <v>339</v>
      </c>
      <c r="B19" s="30" t="s">
        <v>340</v>
      </c>
      <c r="C19" s="56">
        <v>131.01</v>
      </c>
      <c r="D19" s="56">
        <v>-131.01</v>
      </c>
      <c r="E19" s="56">
        <v>0</v>
      </c>
      <c r="F19" s="59">
        <v>0</v>
      </c>
    </row>
    <row r="20" spans="1:6">
      <c r="A20" s="30" t="s">
        <v>341</v>
      </c>
      <c r="B20" s="30" t="s">
        <v>342</v>
      </c>
      <c r="C20" s="56">
        <v>90.14</v>
      </c>
      <c r="D20" s="56">
        <v>1909.86</v>
      </c>
      <c r="E20" s="56">
        <v>2000</v>
      </c>
      <c r="F20" s="59">
        <f>E20</f>
        <v>2000</v>
      </c>
    </row>
    <row r="21" spans="1:6">
      <c r="A21" s="30" t="s">
        <v>343</v>
      </c>
      <c r="B21" s="30" t="s">
        <v>344</v>
      </c>
      <c r="C21" s="56">
        <v>297.44</v>
      </c>
      <c r="D21" s="56">
        <v>-297.44</v>
      </c>
      <c r="E21" s="56">
        <v>0</v>
      </c>
      <c r="F21" s="59">
        <v>0</v>
      </c>
    </row>
    <row r="22" spans="1:6">
      <c r="A22" s="30" t="s">
        <v>345</v>
      </c>
      <c r="B22" s="30" t="s">
        <v>346</v>
      </c>
      <c r="C22" s="56">
        <v>0</v>
      </c>
      <c r="D22" s="56">
        <v>1560</v>
      </c>
      <c r="E22" s="56">
        <v>1560</v>
      </c>
      <c r="F22" s="59">
        <f>E22</f>
        <v>1560</v>
      </c>
    </row>
    <row r="23" spans="1:6">
      <c r="A23" s="30" t="s">
        <v>347</v>
      </c>
      <c r="B23" s="30" t="s">
        <v>348</v>
      </c>
      <c r="C23" s="56" t="e">
        <f>#REF!-D23</f>
        <v>#REF!</v>
      </c>
      <c r="D23" s="56">
        <v>-375</v>
      </c>
      <c r="E23" s="56">
        <v>4000</v>
      </c>
      <c r="F23" s="59">
        <f>E23</f>
        <v>4000</v>
      </c>
    </row>
    <row r="24" spans="1:6">
      <c r="A24" s="30" t="s">
        <v>349</v>
      </c>
      <c r="B24" s="30" t="s">
        <v>350</v>
      </c>
      <c r="C24" s="56">
        <v>39740.379999999997</v>
      </c>
      <c r="D24" s="56">
        <v>-29740.379999999997</v>
      </c>
      <c r="E24" s="56">
        <v>40000</v>
      </c>
      <c r="F24" s="59">
        <v>40000</v>
      </c>
    </row>
    <row r="25" spans="1:6">
      <c r="A25" s="30" t="s">
        <v>351</v>
      </c>
      <c r="B25" s="30" t="s">
        <v>352</v>
      </c>
      <c r="C25" s="56">
        <v>19836.68</v>
      </c>
      <c r="D25" s="56">
        <v>-9836.68</v>
      </c>
      <c r="E25" s="56">
        <v>20000</v>
      </c>
      <c r="F25" s="59">
        <v>20000</v>
      </c>
    </row>
    <row r="26" spans="1:6">
      <c r="A26" s="30" t="s">
        <v>353</v>
      </c>
      <c r="B26" s="30" t="s">
        <v>354</v>
      </c>
      <c r="C26" s="56">
        <v>5553.08</v>
      </c>
      <c r="D26" s="56">
        <v>104646.92</v>
      </c>
      <c r="E26" s="56">
        <v>110200</v>
      </c>
      <c r="F26" s="59">
        <v>110200</v>
      </c>
    </row>
    <row r="27" spans="1:6">
      <c r="A27" s="30" t="s">
        <v>355</v>
      </c>
      <c r="B27" s="30" t="s">
        <v>356</v>
      </c>
      <c r="C27" s="56">
        <v>0</v>
      </c>
      <c r="D27" s="56">
        <v>6240</v>
      </c>
      <c r="E27" s="56">
        <v>6240</v>
      </c>
      <c r="F27" s="59">
        <f>E27</f>
        <v>6240</v>
      </c>
    </row>
    <row r="28" spans="1:6">
      <c r="A28" s="30" t="s">
        <v>357</v>
      </c>
      <c r="B28" s="30" t="s">
        <v>358</v>
      </c>
      <c r="C28" s="56">
        <v>0</v>
      </c>
      <c r="D28" s="56">
        <v>6000</v>
      </c>
      <c r="E28" s="56">
        <v>6000</v>
      </c>
      <c r="F28" s="59">
        <f>E28</f>
        <v>6000</v>
      </c>
    </row>
    <row r="29" spans="1:6">
      <c r="A29" s="30" t="s">
        <v>359</v>
      </c>
      <c r="B29" s="30" t="s">
        <v>360</v>
      </c>
      <c r="C29" s="56">
        <v>0</v>
      </c>
      <c r="D29" s="56">
        <v>40000</v>
      </c>
      <c r="E29" s="56">
        <v>0</v>
      </c>
      <c r="F29" s="59">
        <v>0</v>
      </c>
    </row>
    <row r="30" spans="1:6">
      <c r="A30" s="30" t="s">
        <v>361</v>
      </c>
      <c r="B30" s="30" t="s">
        <v>362</v>
      </c>
      <c r="C30" s="56">
        <v>22.98</v>
      </c>
      <c r="D30" s="56">
        <v>-22.98</v>
      </c>
      <c r="E30" s="56">
        <v>0</v>
      </c>
      <c r="F30" s="59">
        <v>0</v>
      </c>
    </row>
    <row r="31" spans="1:6">
      <c r="C31" s="56"/>
      <c r="D31" s="56"/>
      <c r="E31" s="56"/>
    </row>
    <row r="32" spans="1:6">
      <c r="A32" s="49" t="s">
        <v>249</v>
      </c>
      <c r="B32" s="52"/>
      <c r="C32" s="57">
        <v>70046.709999999992</v>
      </c>
      <c r="D32" s="57">
        <v>129953.29000000001</v>
      </c>
      <c r="E32" s="57">
        <v>200000</v>
      </c>
      <c r="F32" s="73">
        <f>SUM(F18:F30)</f>
        <v>200000</v>
      </c>
    </row>
    <row r="33" spans="1:6">
      <c r="C33" s="56"/>
      <c r="D33" s="56"/>
      <c r="E33" s="56"/>
    </row>
    <row r="34" spans="1:6" ht="13.5" thickBot="1">
      <c r="A34" s="43" t="s">
        <v>250</v>
      </c>
      <c r="B34" s="53"/>
      <c r="C34" s="54">
        <v>-70046.709999999992</v>
      </c>
      <c r="D34" s="54">
        <v>70046.709999999992</v>
      </c>
      <c r="E34" s="54">
        <v>0</v>
      </c>
      <c r="F34" s="73">
        <f>F15-F32</f>
        <v>0</v>
      </c>
    </row>
    <row r="35" spans="1:6" ht="13.5" thickTop="1"/>
  </sheetData>
  <mergeCells count="2">
    <mergeCell ref="A4:E4"/>
    <mergeCell ref="A7:E7"/>
  </mergeCells>
  <pageMargins left="0.7" right="0.7" top="0.75" bottom="0.75" header="0.3" footer="0.3"/>
  <pageSetup orientation="landscape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4"/>
  <sheetViews>
    <sheetView zoomScale="150" zoomScaleNormal="150" workbookViewId="0">
      <selection activeCell="H13" sqref="H13"/>
    </sheetView>
  </sheetViews>
  <sheetFormatPr defaultRowHeight="12.75"/>
  <cols>
    <col min="1" max="1" width="46.42578125" bestFit="1" customWidth="1"/>
    <col min="2" max="2" width="8.7109375" customWidth="1"/>
    <col min="3" max="5" width="14.28515625" hidden="1" customWidth="1"/>
    <col min="6" max="6" width="14.28515625" customWidth="1"/>
    <col min="7" max="7" width="9.7109375" style="59" bestFit="1" customWidth="1"/>
    <col min="8" max="8" width="28.28515625" customWidth="1"/>
    <col min="256" max="256" width="46.42578125" bestFit="1" customWidth="1"/>
    <col min="257" max="257" width="8.7109375" customWidth="1"/>
    <col min="258" max="262" width="14.28515625" customWidth="1"/>
    <col min="512" max="512" width="46.42578125" bestFit="1" customWidth="1"/>
    <col min="513" max="513" width="8.7109375" customWidth="1"/>
    <col min="514" max="518" width="14.28515625" customWidth="1"/>
    <col min="768" max="768" width="46.42578125" bestFit="1" customWidth="1"/>
    <col min="769" max="769" width="8.7109375" customWidth="1"/>
    <col min="770" max="774" width="14.28515625" customWidth="1"/>
    <col min="1024" max="1024" width="46.42578125" bestFit="1" customWidth="1"/>
    <col min="1025" max="1025" width="8.7109375" customWidth="1"/>
    <col min="1026" max="1030" width="14.28515625" customWidth="1"/>
    <col min="1280" max="1280" width="46.42578125" bestFit="1" customWidth="1"/>
    <col min="1281" max="1281" width="8.7109375" customWidth="1"/>
    <col min="1282" max="1286" width="14.28515625" customWidth="1"/>
    <col min="1536" max="1536" width="46.42578125" bestFit="1" customWidth="1"/>
    <col min="1537" max="1537" width="8.7109375" customWidth="1"/>
    <col min="1538" max="1542" width="14.28515625" customWidth="1"/>
    <col min="1792" max="1792" width="46.42578125" bestFit="1" customWidth="1"/>
    <col min="1793" max="1793" width="8.7109375" customWidth="1"/>
    <col min="1794" max="1798" width="14.28515625" customWidth="1"/>
    <col min="2048" max="2048" width="46.42578125" bestFit="1" customWidth="1"/>
    <col min="2049" max="2049" width="8.7109375" customWidth="1"/>
    <col min="2050" max="2054" width="14.28515625" customWidth="1"/>
    <col min="2304" max="2304" width="46.42578125" bestFit="1" customWidth="1"/>
    <col min="2305" max="2305" width="8.7109375" customWidth="1"/>
    <col min="2306" max="2310" width="14.28515625" customWidth="1"/>
    <col min="2560" max="2560" width="46.42578125" bestFit="1" customWidth="1"/>
    <col min="2561" max="2561" width="8.7109375" customWidth="1"/>
    <col min="2562" max="2566" width="14.28515625" customWidth="1"/>
    <col min="2816" max="2816" width="46.42578125" bestFit="1" customWidth="1"/>
    <col min="2817" max="2817" width="8.7109375" customWidth="1"/>
    <col min="2818" max="2822" width="14.28515625" customWidth="1"/>
    <col min="3072" max="3072" width="46.42578125" bestFit="1" customWidth="1"/>
    <col min="3073" max="3073" width="8.7109375" customWidth="1"/>
    <col min="3074" max="3078" width="14.28515625" customWidth="1"/>
    <col min="3328" max="3328" width="46.42578125" bestFit="1" customWidth="1"/>
    <col min="3329" max="3329" width="8.7109375" customWidth="1"/>
    <col min="3330" max="3334" width="14.28515625" customWidth="1"/>
    <col min="3584" max="3584" width="46.42578125" bestFit="1" customWidth="1"/>
    <col min="3585" max="3585" width="8.7109375" customWidth="1"/>
    <col min="3586" max="3590" width="14.28515625" customWidth="1"/>
    <col min="3840" max="3840" width="46.42578125" bestFit="1" customWidth="1"/>
    <col min="3841" max="3841" width="8.7109375" customWidth="1"/>
    <col min="3842" max="3846" width="14.28515625" customWidth="1"/>
    <col min="4096" max="4096" width="46.42578125" bestFit="1" customWidth="1"/>
    <col min="4097" max="4097" width="8.7109375" customWidth="1"/>
    <col min="4098" max="4102" width="14.28515625" customWidth="1"/>
    <col min="4352" max="4352" width="46.42578125" bestFit="1" customWidth="1"/>
    <col min="4353" max="4353" width="8.7109375" customWidth="1"/>
    <col min="4354" max="4358" width="14.28515625" customWidth="1"/>
    <col min="4608" max="4608" width="46.42578125" bestFit="1" customWidth="1"/>
    <col min="4609" max="4609" width="8.7109375" customWidth="1"/>
    <col min="4610" max="4614" width="14.28515625" customWidth="1"/>
    <col min="4864" max="4864" width="46.42578125" bestFit="1" customWidth="1"/>
    <col min="4865" max="4865" width="8.7109375" customWidth="1"/>
    <col min="4866" max="4870" width="14.28515625" customWidth="1"/>
    <col min="5120" max="5120" width="46.42578125" bestFit="1" customWidth="1"/>
    <col min="5121" max="5121" width="8.7109375" customWidth="1"/>
    <col min="5122" max="5126" width="14.28515625" customWidth="1"/>
    <col min="5376" max="5376" width="46.42578125" bestFit="1" customWidth="1"/>
    <col min="5377" max="5377" width="8.7109375" customWidth="1"/>
    <col min="5378" max="5382" width="14.28515625" customWidth="1"/>
    <col min="5632" max="5632" width="46.42578125" bestFit="1" customWidth="1"/>
    <col min="5633" max="5633" width="8.7109375" customWidth="1"/>
    <col min="5634" max="5638" width="14.28515625" customWidth="1"/>
    <col min="5888" max="5888" width="46.42578125" bestFit="1" customWidth="1"/>
    <col min="5889" max="5889" width="8.7109375" customWidth="1"/>
    <col min="5890" max="5894" width="14.28515625" customWidth="1"/>
    <col min="6144" max="6144" width="46.42578125" bestFit="1" customWidth="1"/>
    <col min="6145" max="6145" width="8.7109375" customWidth="1"/>
    <col min="6146" max="6150" width="14.28515625" customWidth="1"/>
    <col min="6400" max="6400" width="46.42578125" bestFit="1" customWidth="1"/>
    <col min="6401" max="6401" width="8.7109375" customWidth="1"/>
    <col min="6402" max="6406" width="14.28515625" customWidth="1"/>
    <col min="6656" max="6656" width="46.42578125" bestFit="1" customWidth="1"/>
    <col min="6657" max="6657" width="8.7109375" customWidth="1"/>
    <col min="6658" max="6662" width="14.28515625" customWidth="1"/>
    <col min="6912" max="6912" width="46.42578125" bestFit="1" customWidth="1"/>
    <col min="6913" max="6913" width="8.7109375" customWidth="1"/>
    <col min="6914" max="6918" width="14.28515625" customWidth="1"/>
    <col min="7168" max="7168" width="46.42578125" bestFit="1" customWidth="1"/>
    <col min="7169" max="7169" width="8.7109375" customWidth="1"/>
    <col min="7170" max="7174" width="14.28515625" customWidth="1"/>
    <col min="7424" max="7424" width="46.42578125" bestFit="1" customWidth="1"/>
    <col min="7425" max="7425" width="8.7109375" customWidth="1"/>
    <col min="7426" max="7430" width="14.28515625" customWidth="1"/>
    <col min="7680" max="7680" width="46.42578125" bestFit="1" customWidth="1"/>
    <col min="7681" max="7681" width="8.7109375" customWidth="1"/>
    <col min="7682" max="7686" width="14.28515625" customWidth="1"/>
    <col min="7936" max="7936" width="46.42578125" bestFit="1" customWidth="1"/>
    <col min="7937" max="7937" width="8.7109375" customWidth="1"/>
    <col min="7938" max="7942" width="14.28515625" customWidth="1"/>
    <col min="8192" max="8192" width="46.42578125" bestFit="1" customWidth="1"/>
    <col min="8193" max="8193" width="8.7109375" customWidth="1"/>
    <col min="8194" max="8198" width="14.28515625" customWidth="1"/>
    <col min="8448" max="8448" width="46.42578125" bestFit="1" customWidth="1"/>
    <col min="8449" max="8449" width="8.7109375" customWidth="1"/>
    <col min="8450" max="8454" width="14.28515625" customWidth="1"/>
    <col min="8704" max="8704" width="46.42578125" bestFit="1" customWidth="1"/>
    <col min="8705" max="8705" width="8.7109375" customWidth="1"/>
    <col min="8706" max="8710" width="14.28515625" customWidth="1"/>
    <col min="8960" max="8960" width="46.42578125" bestFit="1" customWidth="1"/>
    <col min="8961" max="8961" width="8.7109375" customWidth="1"/>
    <col min="8962" max="8966" width="14.28515625" customWidth="1"/>
    <col min="9216" max="9216" width="46.42578125" bestFit="1" customWidth="1"/>
    <col min="9217" max="9217" width="8.7109375" customWidth="1"/>
    <col min="9218" max="9222" width="14.28515625" customWidth="1"/>
    <col min="9472" max="9472" width="46.42578125" bestFit="1" customWidth="1"/>
    <col min="9473" max="9473" width="8.7109375" customWidth="1"/>
    <col min="9474" max="9478" width="14.28515625" customWidth="1"/>
    <col min="9728" max="9728" width="46.42578125" bestFit="1" customWidth="1"/>
    <col min="9729" max="9729" width="8.7109375" customWidth="1"/>
    <col min="9730" max="9734" width="14.28515625" customWidth="1"/>
    <col min="9984" max="9984" width="46.42578125" bestFit="1" customWidth="1"/>
    <col min="9985" max="9985" width="8.7109375" customWidth="1"/>
    <col min="9986" max="9990" width="14.28515625" customWidth="1"/>
    <col min="10240" max="10240" width="46.42578125" bestFit="1" customWidth="1"/>
    <col min="10241" max="10241" width="8.7109375" customWidth="1"/>
    <col min="10242" max="10246" width="14.28515625" customWidth="1"/>
    <col min="10496" max="10496" width="46.42578125" bestFit="1" customWidth="1"/>
    <col min="10497" max="10497" width="8.7109375" customWidth="1"/>
    <col min="10498" max="10502" width="14.28515625" customWidth="1"/>
    <col min="10752" max="10752" width="46.42578125" bestFit="1" customWidth="1"/>
    <col min="10753" max="10753" width="8.7109375" customWidth="1"/>
    <col min="10754" max="10758" width="14.28515625" customWidth="1"/>
    <col min="11008" max="11008" width="46.42578125" bestFit="1" customWidth="1"/>
    <col min="11009" max="11009" width="8.7109375" customWidth="1"/>
    <col min="11010" max="11014" width="14.28515625" customWidth="1"/>
    <col min="11264" max="11264" width="46.42578125" bestFit="1" customWidth="1"/>
    <col min="11265" max="11265" width="8.7109375" customWidth="1"/>
    <col min="11266" max="11270" width="14.28515625" customWidth="1"/>
    <col min="11520" max="11520" width="46.42578125" bestFit="1" customWidth="1"/>
    <col min="11521" max="11521" width="8.7109375" customWidth="1"/>
    <col min="11522" max="11526" width="14.28515625" customWidth="1"/>
    <col min="11776" max="11776" width="46.42578125" bestFit="1" customWidth="1"/>
    <col min="11777" max="11777" width="8.7109375" customWidth="1"/>
    <col min="11778" max="11782" width="14.28515625" customWidth="1"/>
    <col min="12032" max="12032" width="46.42578125" bestFit="1" customWidth="1"/>
    <col min="12033" max="12033" width="8.7109375" customWidth="1"/>
    <col min="12034" max="12038" width="14.28515625" customWidth="1"/>
    <col min="12288" max="12288" width="46.42578125" bestFit="1" customWidth="1"/>
    <col min="12289" max="12289" width="8.7109375" customWidth="1"/>
    <col min="12290" max="12294" width="14.28515625" customWidth="1"/>
    <col min="12544" max="12544" width="46.42578125" bestFit="1" customWidth="1"/>
    <col min="12545" max="12545" width="8.7109375" customWidth="1"/>
    <col min="12546" max="12550" width="14.28515625" customWidth="1"/>
    <col min="12800" max="12800" width="46.42578125" bestFit="1" customWidth="1"/>
    <col min="12801" max="12801" width="8.7109375" customWidth="1"/>
    <col min="12802" max="12806" width="14.28515625" customWidth="1"/>
    <col min="13056" max="13056" width="46.42578125" bestFit="1" customWidth="1"/>
    <col min="13057" max="13057" width="8.7109375" customWidth="1"/>
    <col min="13058" max="13062" width="14.28515625" customWidth="1"/>
    <col min="13312" max="13312" width="46.42578125" bestFit="1" customWidth="1"/>
    <col min="13313" max="13313" width="8.7109375" customWidth="1"/>
    <col min="13314" max="13318" width="14.28515625" customWidth="1"/>
    <col min="13568" max="13568" width="46.42578125" bestFit="1" customWidth="1"/>
    <col min="13569" max="13569" width="8.7109375" customWidth="1"/>
    <col min="13570" max="13574" width="14.28515625" customWidth="1"/>
    <col min="13824" max="13824" width="46.42578125" bestFit="1" customWidth="1"/>
    <col min="13825" max="13825" width="8.7109375" customWidth="1"/>
    <col min="13826" max="13830" width="14.28515625" customWidth="1"/>
    <col min="14080" max="14080" width="46.42578125" bestFit="1" customWidth="1"/>
    <col min="14081" max="14081" width="8.7109375" customWidth="1"/>
    <col min="14082" max="14086" width="14.28515625" customWidth="1"/>
    <col min="14336" max="14336" width="46.42578125" bestFit="1" customWidth="1"/>
    <col min="14337" max="14337" width="8.7109375" customWidth="1"/>
    <col min="14338" max="14342" width="14.28515625" customWidth="1"/>
    <col min="14592" max="14592" width="46.42578125" bestFit="1" customWidth="1"/>
    <col min="14593" max="14593" width="8.7109375" customWidth="1"/>
    <col min="14594" max="14598" width="14.28515625" customWidth="1"/>
    <col min="14848" max="14848" width="46.42578125" bestFit="1" customWidth="1"/>
    <col min="14849" max="14849" width="8.7109375" customWidth="1"/>
    <col min="14850" max="14854" width="14.28515625" customWidth="1"/>
    <col min="15104" max="15104" width="46.42578125" bestFit="1" customWidth="1"/>
    <col min="15105" max="15105" width="8.7109375" customWidth="1"/>
    <col min="15106" max="15110" width="14.28515625" customWidth="1"/>
    <col min="15360" max="15360" width="46.42578125" bestFit="1" customWidth="1"/>
    <col min="15361" max="15361" width="8.7109375" customWidth="1"/>
    <col min="15362" max="15366" width="14.28515625" customWidth="1"/>
    <col min="15616" max="15616" width="46.42578125" bestFit="1" customWidth="1"/>
    <col min="15617" max="15617" width="8.7109375" customWidth="1"/>
    <col min="15618" max="15622" width="14.28515625" customWidth="1"/>
    <col min="15872" max="15872" width="46.42578125" bestFit="1" customWidth="1"/>
    <col min="15873" max="15873" width="8.7109375" customWidth="1"/>
    <col min="15874" max="15878" width="14.28515625" customWidth="1"/>
    <col min="16128" max="16128" width="46.42578125" bestFit="1" customWidth="1"/>
    <col min="16129" max="16129" width="8.7109375" customWidth="1"/>
    <col min="16130" max="16134" width="14.28515625" customWidth="1"/>
  </cols>
  <sheetData>
    <row r="3" spans="1:8" ht="15">
      <c r="A3" s="35" t="s">
        <v>1825</v>
      </c>
      <c r="B3" s="34"/>
      <c r="C3" s="34"/>
      <c r="D3" s="34"/>
      <c r="E3" s="34"/>
      <c r="F3" s="34"/>
    </row>
    <row r="4" spans="1:8" ht="15">
      <c r="A4" s="341" t="s">
        <v>363</v>
      </c>
      <c r="B4" s="341"/>
      <c r="C4" s="341"/>
      <c r="D4" s="341"/>
      <c r="E4" s="341"/>
      <c r="F4" s="341"/>
    </row>
    <row r="5" spans="1:8" ht="15" hidden="1">
      <c r="A5" s="36" t="s">
        <v>54</v>
      </c>
      <c r="B5" s="34"/>
      <c r="C5" s="34"/>
      <c r="D5" s="34"/>
      <c r="E5" s="34"/>
      <c r="F5" s="34"/>
    </row>
    <row r="6" spans="1:8" hidden="1">
      <c r="A6" s="37" t="s">
        <v>54</v>
      </c>
      <c r="B6" s="34"/>
      <c r="C6" s="34"/>
      <c r="D6" s="34"/>
      <c r="E6" s="34"/>
      <c r="F6" s="34"/>
    </row>
    <row r="7" spans="1:8" ht="12.4" hidden="1" customHeight="1">
      <c r="A7" s="342">
        <v>42460</v>
      </c>
      <c r="B7" s="342"/>
      <c r="C7" s="342"/>
      <c r="D7" s="342"/>
      <c r="E7" s="342"/>
      <c r="F7" s="342"/>
    </row>
    <row r="8" spans="1:8">
      <c r="A8" s="38"/>
      <c r="B8" s="38"/>
      <c r="C8" s="38"/>
      <c r="D8" s="38"/>
      <c r="E8" s="38"/>
      <c r="F8" s="38"/>
    </row>
    <row r="9" spans="1:8" ht="13.5" thickBot="1">
      <c r="C9" s="17" t="s">
        <v>251</v>
      </c>
      <c r="D9" s="17" t="s">
        <v>251</v>
      </c>
      <c r="E9" s="17" t="s">
        <v>251</v>
      </c>
      <c r="F9" s="17" t="s">
        <v>44</v>
      </c>
      <c r="G9" s="248" t="s">
        <v>1701</v>
      </c>
    </row>
    <row r="10" spans="1:8" ht="13.5" thickTop="1">
      <c r="A10" s="39"/>
      <c r="B10" s="40"/>
      <c r="C10" s="41" t="s">
        <v>55</v>
      </c>
      <c r="D10" s="41" t="s">
        <v>55</v>
      </c>
      <c r="E10" s="41" t="s">
        <v>55</v>
      </c>
      <c r="F10" s="41"/>
      <c r="G10" s="61"/>
    </row>
    <row r="11" spans="1:8" ht="13.5" thickBot="1">
      <c r="A11" s="42"/>
      <c r="B11" s="43"/>
      <c r="C11" s="44" t="s">
        <v>58</v>
      </c>
      <c r="D11" s="44" t="s">
        <v>57</v>
      </c>
      <c r="E11" s="44" t="s">
        <v>59</v>
      </c>
      <c r="F11" s="44" t="s">
        <v>57</v>
      </c>
      <c r="G11" s="62" t="s">
        <v>57</v>
      </c>
      <c r="H11" s="55" t="s">
        <v>252</v>
      </c>
    </row>
    <row r="12" spans="1:8" ht="13.5" thickTop="1">
      <c r="A12" s="45" t="s">
        <v>60</v>
      </c>
      <c r="B12" s="46"/>
      <c r="C12" s="47"/>
      <c r="D12" s="47"/>
      <c r="E12" s="47"/>
      <c r="F12" s="47"/>
    </row>
    <row r="13" spans="1:8">
      <c r="A13" s="30" t="s">
        <v>1837</v>
      </c>
      <c r="B13" s="30" t="s">
        <v>364</v>
      </c>
      <c r="C13" s="56">
        <v>0</v>
      </c>
      <c r="D13" s="56">
        <v>100000</v>
      </c>
      <c r="E13" s="56">
        <v>100000</v>
      </c>
      <c r="F13" s="56">
        <v>50000</v>
      </c>
      <c r="G13" s="59">
        <f>'Dept 13'!G45</f>
        <v>50000</v>
      </c>
    </row>
    <row r="14" spans="1:8">
      <c r="A14" s="30" t="s">
        <v>365</v>
      </c>
      <c r="B14" s="30" t="s">
        <v>366</v>
      </c>
      <c r="C14" s="56">
        <v>0</v>
      </c>
      <c r="D14" s="56">
        <v>25000</v>
      </c>
      <c r="E14" s="56">
        <v>25000</v>
      </c>
      <c r="F14" s="56">
        <v>25000</v>
      </c>
      <c r="G14" s="59">
        <v>5000</v>
      </c>
    </row>
    <row r="15" spans="1:8">
      <c r="A15" s="30" t="s">
        <v>367</v>
      </c>
      <c r="B15" s="30" t="s">
        <v>368</v>
      </c>
      <c r="C15" s="56">
        <v>14265</v>
      </c>
      <c r="D15" s="56">
        <v>21000</v>
      </c>
      <c r="E15" s="56">
        <v>6735</v>
      </c>
      <c r="F15" s="56">
        <v>18000</v>
      </c>
      <c r="G15" s="59">
        <v>10000</v>
      </c>
    </row>
    <row r="16" spans="1:8">
      <c r="A16" s="30"/>
      <c r="B16" s="30"/>
      <c r="C16" s="56"/>
      <c r="D16" s="56"/>
      <c r="E16" s="56"/>
      <c r="F16" s="56"/>
    </row>
    <row r="17" spans="1:7">
      <c r="A17" s="49" t="s">
        <v>115</v>
      </c>
      <c r="B17" s="50"/>
      <c r="C17" s="57">
        <v>14265</v>
      </c>
      <c r="D17" s="57">
        <v>146000</v>
      </c>
      <c r="E17" s="57">
        <v>131735</v>
      </c>
      <c r="F17" s="57">
        <v>93000</v>
      </c>
      <c r="G17" s="75">
        <f>SUM(G13:G15)</f>
        <v>65000</v>
      </c>
    </row>
    <row r="18" spans="1:7">
      <c r="A18" s="46"/>
      <c r="C18" s="56"/>
      <c r="D18" s="56"/>
      <c r="E18" s="56"/>
      <c r="F18" s="56"/>
    </row>
    <row r="19" spans="1:7">
      <c r="A19" s="45" t="s">
        <v>116</v>
      </c>
      <c r="C19" s="56"/>
      <c r="D19" s="56"/>
      <c r="E19" s="56"/>
      <c r="F19" s="56"/>
    </row>
    <row r="20" spans="1:7">
      <c r="A20" s="30" t="s">
        <v>369</v>
      </c>
      <c r="B20" s="30" t="s">
        <v>370</v>
      </c>
      <c r="C20" s="56">
        <v>102987.5</v>
      </c>
      <c r="D20" s="56">
        <v>122300</v>
      </c>
      <c r="E20" s="56">
        <v>19312.5</v>
      </c>
      <c r="F20" s="56">
        <v>73000</v>
      </c>
      <c r="G20" s="59">
        <v>50000</v>
      </c>
    </row>
    <row r="21" spans="1:7">
      <c r="A21" s="30" t="s">
        <v>371</v>
      </c>
      <c r="B21" s="30" t="s">
        <v>372</v>
      </c>
      <c r="C21" s="56">
        <v>17000</v>
      </c>
      <c r="D21" s="56">
        <v>0</v>
      </c>
      <c r="E21" s="56">
        <v>-17000</v>
      </c>
      <c r="F21" s="56">
        <v>8500</v>
      </c>
      <c r="G21" s="59">
        <v>15000</v>
      </c>
    </row>
    <row r="22" spans="1:7">
      <c r="A22" s="30" t="s">
        <v>373</v>
      </c>
      <c r="B22" s="30" t="s">
        <v>374</v>
      </c>
      <c r="C22" s="56">
        <v>10000</v>
      </c>
      <c r="D22" s="56">
        <v>10000</v>
      </c>
      <c r="E22" s="56">
        <v>0</v>
      </c>
      <c r="F22" s="56">
        <v>5000</v>
      </c>
      <c r="G22" s="59">
        <v>7500</v>
      </c>
    </row>
    <row r="23" spans="1:7">
      <c r="A23" s="30" t="s">
        <v>375</v>
      </c>
      <c r="B23" s="30" t="s">
        <v>376</v>
      </c>
      <c r="C23" s="56">
        <f>D23-E23</f>
        <v>4788.37</v>
      </c>
      <c r="D23" s="56">
        <v>4000</v>
      </c>
      <c r="E23" s="56">
        <v>-788.36999999999989</v>
      </c>
      <c r="F23" s="56">
        <v>2000</v>
      </c>
      <c r="G23" s="59">
        <f>2000</f>
        <v>2000</v>
      </c>
    </row>
    <row r="24" spans="1:7">
      <c r="A24" s="30" t="s">
        <v>377</v>
      </c>
      <c r="B24" s="30" t="s">
        <v>378</v>
      </c>
      <c r="C24" s="56">
        <v>2412.59</v>
      </c>
      <c r="D24" s="56">
        <v>3500</v>
      </c>
      <c r="E24" s="56">
        <v>1087.4099999999999</v>
      </c>
      <c r="F24" s="56">
        <v>2000</v>
      </c>
      <c r="G24" s="59">
        <v>2000</v>
      </c>
    </row>
    <row r="25" spans="1:7">
      <c r="A25" s="30" t="s">
        <v>379</v>
      </c>
      <c r="B25" s="30" t="s">
        <v>380</v>
      </c>
      <c r="C25" s="56">
        <v>2172.15</v>
      </c>
      <c r="D25" s="56">
        <v>0</v>
      </c>
      <c r="E25" s="56">
        <v>-2172.15</v>
      </c>
      <c r="F25" s="56">
        <v>0</v>
      </c>
      <c r="G25" s="59">
        <v>0</v>
      </c>
    </row>
    <row r="26" spans="1:7">
      <c r="A26" s="30" t="s">
        <v>381</v>
      </c>
      <c r="B26" s="30" t="s">
        <v>382</v>
      </c>
      <c r="C26" s="56">
        <v>905.93</v>
      </c>
      <c r="D26" s="56">
        <v>2000</v>
      </c>
      <c r="E26" s="56">
        <v>1094.0700000000002</v>
      </c>
      <c r="F26" s="56">
        <v>1000</v>
      </c>
      <c r="G26" s="59">
        <v>1000</v>
      </c>
    </row>
    <row r="27" spans="1:7">
      <c r="A27" s="30" t="s">
        <v>383</v>
      </c>
      <c r="B27" s="30" t="s">
        <v>384</v>
      </c>
      <c r="C27" s="56">
        <v>420.67</v>
      </c>
      <c r="D27" s="56">
        <v>900</v>
      </c>
      <c r="E27" s="56">
        <v>479.33</v>
      </c>
      <c r="F27" s="56">
        <v>500</v>
      </c>
      <c r="G27" s="59">
        <v>500</v>
      </c>
    </row>
    <row r="28" spans="1:7">
      <c r="A28" s="30" t="s">
        <v>385</v>
      </c>
      <c r="B28" s="30" t="s">
        <v>386</v>
      </c>
      <c r="C28" s="56">
        <v>1108.23</v>
      </c>
      <c r="D28" s="56">
        <v>3300</v>
      </c>
      <c r="E28" s="56">
        <v>2191.77</v>
      </c>
      <c r="F28" s="56">
        <v>1000</v>
      </c>
      <c r="G28" s="59">
        <v>1000</v>
      </c>
    </row>
    <row r="29" spans="1:7">
      <c r="A29" s="30" t="s">
        <v>387</v>
      </c>
      <c r="B29" s="30" t="s">
        <v>388</v>
      </c>
      <c r="C29" s="56">
        <v>497.2</v>
      </c>
      <c r="D29" s="56">
        <v>0</v>
      </c>
      <c r="E29" s="56">
        <v>-497.2</v>
      </c>
      <c r="F29" s="56">
        <v>0</v>
      </c>
      <c r="G29" s="59">
        <v>0</v>
      </c>
    </row>
    <row r="30" spans="1:7">
      <c r="C30" s="56"/>
      <c r="D30" s="56"/>
      <c r="E30" s="56"/>
      <c r="F30" s="56"/>
    </row>
    <row r="31" spans="1:7">
      <c r="A31" s="49" t="s">
        <v>249</v>
      </c>
      <c r="B31" s="52"/>
      <c r="C31" s="57">
        <v>142292.64000000001</v>
      </c>
      <c r="D31" s="57">
        <v>146000</v>
      </c>
      <c r="E31" s="57">
        <v>3707.3599999999997</v>
      </c>
      <c r="F31" s="57">
        <v>93000</v>
      </c>
      <c r="G31" s="75">
        <f>SUM(G20:G29)</f>
        <v>79000</v>
      </c>
    </row>
    <row r="32" spans="1:7">
      <c r="C32" s="56"/>
      <c r="D32" s="56"/>
      <c r="E32" s="56"/>
      <c r="F32" s="56"/>
    </row>
    <row r="33" spans="1:7" ht="13.5" thickBot="1">
      <c r="A33" s="43" t="s">
        <v>250</v>
      </c>
      <c r="B33" s="53"/>
      <c r="C33" s="54">
        <v>-128027.64000000001</v>
      </c>
      <c r="D33" s="54">
        <v>0</v>
      </c>
      <c r="E33" s="54">
        <v>128027.64</v>
      </c>
      <c r="F33" s="54">
        <v>0</v>
      </c>
      <c r="G33" s="73">
        <f>G17-G31</f>
        <v>-14000</v>
      </c>
    </row>
    <row r="34" spans="1:7" ht="13.5" thickTop="1"/>
  </sheetData>
  <mergeCells count="2">
    <mergeCell ref="A4:F4"/>
    <mergeCell ref="A7:F7"/>
  </mergeCells>
  <pageMargins left="0.7" right="0.7" top="0.75" bottom="0.75" header="0.3" footer="0.3"/>
  <pageSetup orientation="landscape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0"/>
  <sheetViews>
    <sheetView zoomScale="150" zoomScaleNormal="150" workbookViewId="0">
      <selection activeCell="A4" sqref="A4:F4"/>
    </sheetView>
  </sheetViews>
  <sheetFormatPr defaultRowHeight="12.75"/>
  <cols>
    <col min="1" max="1" width="46.42578125" bestFit="1" customWidth="1"/>
    <col min="2" max="2" width="8.7109375" customWidth="1"/>
    <col min="3" max="5" width="14.28515625" hidden="1" customWidth="1"/>
    <col min="6" max="6" width="14.28515625" customWidth="1"/>
    <col min="7" max="7" width="10.7109375" style="59" bestFit="1" customWidth="1"/>
    <col min="8" max="8" width="26.28515625" customWidth="1"/>
    <col min="256" max="256" width="46.42578125" bestFit="1" customWidth="1"/>
    <col min="257" max="257" width="8.7109375" customWidth="1"/>
    <col min="258" max="262" width="14.28515625" customWidth="1"/>
    <col min="512" max="512" width="46.42578125" bestFit="1" customWidth="1"/>
    <col min="513" max="513" width="8.7109375" customWidth="1"/>
    <col min="514" max="518" width="14.28515625" customWidth="1"/>
    <col min="768" max="768" width="46.42578125" bestFit="1" customWidth="1"/>
    <col min="769" max="769" width="8.7109375" customWidth="1"/>
    <col min="770" max="774" width="14.28515625" customWidth="1"/>
    <col min="1024" max="1024" width="46.42578125" bestFit="1" customWidth="1"/>
    <col min="1025" max="1025" width="8.7109375" customWidth="1"/>
    <col min="1026" max="1030" width="14.28515625" customWidth="1"/>
    <col min="1280" max="1280" width="46.42578125" bestFit="1" customWidth="1"/>
    <col min="1281" max="1281" width="8.7109375" customWidth="1"/>
    <col min="1282" max="1286" width="14.28515625" customWidth="1"/>
    <col min="1536" max="1536" width="46.42578125" bestFit="1" customWidth="1"/>
    <col min="1537" max="1537" width="8.7109375" customWidth="1"/>
    <col min="1538" max="1542" width="14.28515625" customWidth="1"/>
    <col min="1792" max="1792" width="46.42578125" bestFit="1" customWidth="1"/>
    <col min="1793" max="1793" width="8.7109375" customWidth="1"/>
    <col min="1794" max="1798" width="14.28515625" customWidth="1"/>
    <col min="2048" max="2048" width="46.42578125" bestFit="1" customWidth="1"/>
    <col min="2049" max="2049" width="8.7109375" customWidth="1"/>
    <col min="2050" max="2054" width="14.28515625" customWidth="1"/>
    <col min="2304" max="2304" width="46.42578125" bestFit="1" customWidth="1"/>
    <col min="2305" max="2305" width="8.7109375" customWidth="1"/>
    <col min="2306" max="2310" width="14.28515625" customWidth="1"/>
    <col min="2560" max="2560" width="46.42578125" bestFit="1" customWidth="1"/>
    <col min="2561" max="2561" width="8.7109375" customWidth="1"/>
    <col min="2562" max="2566" width="14.28515625" customWidth="1"/>
    <col min="2816" max="2816" width="46.42578125" bestFit="1" customWidth="1"/>
    <col min="2817" max="2817" width="8.7109375" customWidth="1"/>
    <col min="2818" max="2822" width="14.28515625" customWidth="1"/>
    <col min="3072" max="3072" width="46.42578125" bestFit="1" customWidth="1"/>
    <col min="3073" max="3073" width="8.7109375" customWidth="1"/>
    <col min="3074" max="3078" width="14.28515625" customWidth="1"/>
    <col min="3328" max="3328" width="46.42578125" bestFit="1" customWidth="1"/>
    <col min="3329" max="3329" width="8.7109375" customWidth="1"/>
    <col min="3330" max="3334" width="14.28515625" customWidth="1"/>
    <col min="3584" max="3584" width="46.42578125" bestFit="1" customWidth="1"/>
    <col min="3585" max="3585" width="8.7109375" customWidth="1"/>
    <col min="3586" max="3590" width="14.28515625" customWidth="1"/>
    <col min="3840" max="3840" width="46.42578125" bestFit="1" customWidth="1"/>
    <col min="3841" max="3841" width="8.7109375" customWidth="1"/>
    <col min="3842" max="3846" width="14.28515625" customWidth="1"/>
    <col min="4096" max="4096" width="46.42578125" bestFit="1" customWidth="1"/>
    <col min="4097" max="4097" width="8.7109375" customWidth="1"/>
    <col min="4098" max="4102" width="14.28515625" customWidth="1"/>
    <col min="4352" max="4352" width="46.42578125" bestFit="1" customWidth="1"/>
    <col min="4353" max="4353" width="8.7109375" customWidth="1"/>
    <col min="4354" max="4358" width="14.28515625" customWidth="1"/>
    <col min="4608" max="4608" width="46.42578125" bestFit="1" customWidth="1"/>
    <col min="4609" max="4609" width="8.7109375" customWidth="1"/>
    <col min="4610" max="4614" width="14.28515625" customWidth="1"/>
    <col min="4864" max="4864" width="46.42578125" bestFit="1" customWidth="1"/>
    <col min="4865" max="4865" width="8.7109375" customWidth="1"/>
    <col min="4866" max="4870" width="14.28515625" customWidth="1"/>
    <col min="5120" max="5120" width="46.42578125" bestFit="1" customWidth="1"/>
    <col min="5121" max="5121" width="8.7109375" customWidth="1"/>
    <col min="5122" max="5126" width="14.28515625" customWidth="1"/>
    <col min="5376" max="5376" width="46.42578125" bestFit="1" customWidth="1"/>
    <col min="5377" max="5377" width="8.7109375" customWidth="1"/>
    <col min="5378" max="5382" width="14.28515625" customWidth="1"/>
    <col min="5632" max="5632" width="46.42578125" bestFit="1" customWidth="1"/>
    <col min="5633" max="5633" width="8.7109375" customWidth="1"/>
    <col min="5634" max="5638" width="14.28515625" customWidth="1"/>
    <col min="5888" max="5888" width="46.42578125" bestFit="1" customWidth="1"/>
    <col min="5889" max="5889" width="8.7109375" customWidth="1"/>
    <col min="5890" max="5894" width="14.28515625" customWidth="1"/>
    <col min="6144" max="6144" width="46.42578125" bestFit="1" customWidth="1"/>
    <col min="6145" max="6145" width="8.7109375" customWidth="1"/>
    <col min="6146" max="6150" width="14.28515625" customWidth="1"/>
    <col min="6400" max="6400" width="46.42578125" bestFit="1" customWidth="1"/>
    <col min="6401" max="6401" width="8.7109375" customWidth="1"/>
    <col min="6402" max="6406" width="14.28515625" customWidth="1"/>
    <col min="6656" max="6656" width="46.42578125" bestFit="1" customWidth="1"/>
    <col min="6657" max="6657" width="8.7109375" customWidth="1"/>
    <col min="6658" max="6662" width="14.28515625" customWidth="1"/>
    <col min="6912" max="6912" width="46.42578125" bestFit="1" customWidth="1"/>
    <col min="6913" max="6913" width="8.7109375" customWidth="1"/>
    <col min="6914" max="6918" width="14.28515625" customWidth="1"/>
    <col min="7168" max="7168" width="46.42578125" bestFit="1" customWidth="1"/>
    <col min="7169" max="7169" width="8.7109375" customWidth="1"/>
    <col min="7170" max="7174" width="14.28515625" customWidth="1"/>
    <col min="7424" max="7424" width="46.42578125" bestFit="1" customWidth="1"/>
    <col min="7425" max="7425" width="8.7109375" customWidth="1"/>
    <col min="7426" max="7430" width="14.28515625" customWidth="1"/>
    <col min="7680" max="7680" width="46.42578125" bestFit="1" customWidth="1"/>
    <col min="7681" max="7681" width="8.7109375" customWidth="1"/>
    <col min="7682" max="7686" width="14.28515625" customWidth="1"/>
    <col min="7936" max="7936" width="46.42578125" bestFit="1" customWidth="1"/>
    <col min="7937" max="7937" width="8.7109375" customWidth="1"/>
    <col min="7938" max="7942" width="14.28515625" customWidth="1"/>
    <col min="8192" max="8192" width="46.42578125" bestFit="1" customWidth="1"/>
    <col min="8193" max="8193" width="8.7109375" customWidth="1"/>
    <col min="8194" max="8198" width="14.28515625" customWidth="1"/>
    <col min="8448" max="8448" width="46.42578125" bestFit="1" customWidth="1"/>
    <col min="8449" max="8449" width="8.7109375" customWidth="1"/>
    <col min="8450" max="8454" width="14.28515625" customWidth="1"/>
    <col min="8704" max="8704" width="46.42578125" bestFit="1" customWidth="1"/>
    <col min="8705" max="8705" width="8.7109375" customWidth="1"/>
    <col min="8706" max="8710" width="14.28515625" customWidth="1"/>
    <col min="8960" max="8960" width="46.42578125" bestFit="1" customWidth="1"/>
    <col min="8961" max="8961" width="8.7109375" customWidth="1"/>
    <col min="8962" max="8966" width="14.28515625" customWidth="1"/>
    <col min="9216" max="9216" width="46.42578125" bestFit="1" customWidth="1"/>
    <col min="9217" max="9217" width="8.7109375" customWidth="1"/>
    <col min="9218" max="9222" width="14.28515625" customWidth="1"/>
    <col min="9472" max="9472" width="46.42578125" bestFit="1" customWidth="1"/>
    <col min="9473" max="9473" width="8.7109375" customWidth="1"/>
    <col min="9474" max="9478" width="14.28515625" customWidth="1"/>
    <col min="9728" max="9728" width="46.42578125" bestFit="1" customWidth="1"/>
    <col min="9729" max="9729" width="8.7109375" customWidth="1"/>
    <col min="9730" max="9734" width="14.28515625" customWidth="1"/>
    <col min="9984" max="9984" width="46.42578125" bestFit="1" customWidth="1"/>
    <col min="9985" max="9985" width="8.7109375" customWidth="1"/>
    <col min="9986" max="9990" width="14.28515625" customWidth="1"/>
    <col min="10240" max="10240" width="46.42578125" bestFit="1" customWidth="1"/>
    <col min="10241" max="10241" width="8.7109375" customWidth="1"/>
    <col min="10242" max="10246" width="14.28515625" customWidth="1"/>
    <col min="10496" max="10496" width="46.42578125" bestFit="1" customWidth="1"/>
    <col min="10497" max="10497" width="8.7109375" customWidth="1"/>
    <col min="10498" max="10502" width="14.28515625" customWidth="1"/>
    <col min="10752" max="10752" width="46.42578125" bestFit="1" customWidth="1"/>
    <col min="10753" max="10753" width="8.7109375" customWidth="1"/>
    <col min="10754" max="10758" width="14.28515625" customWidth="1"/>
    <col min="11008" max="11008" width="46.42578125" bestFit="1" customWidth="1"/>
    <col min="11009" max="11009" width="8.7109375" customWidth="1"/>
    <col min="11010" max="11014" width="14.28515625" customWidth="1"/>
    <col min="11264" max="11264" width="46.42578125" bestFit="1" customWidth="1"/>
    <col min="11265" max="11265" width="8.7109375" customWidth="1"/>
    <col min="11266" max="11270" width="14.28515625" customWidth="1"/>
    <col min="11520" max="11520" width="46.42578125" bestFit="1" customWidth="1"/>
    <col min="11521" max="11521" width="8.7109375" customWidth="1"/>
    <col min="11522" max="11526" width="14.28515625" customWidth="1"/>
    <col min="11776" max="11776" width="46.42578125" bestFit="1" customWidth="1"/>
    <col min="11777" max="11777" width="8.7109375" customWidth="1"/>
    <col min="11778" max="11782" width="14.28515625" customWidth="1"/>
    <col min="12032" max="12032" width="46.42578125" bestFit="1" customWidth="1"/>
    <col min="12033" max="12033" width="8.7109375" customWidth="1"/>
    <col min="12034" max="12038" width="14.28515625" customWidth="1"/>
    <col min="12288" max="12288" width="46.42578125" bestFit="1" customWidth="1"/>
    <col min="12289" max="12289" width="8.7109375" customWidth="1"/>
    <col min="12290" max="12294" width="14.28515625" customWidth="1"/>
    <col min="12544" max="12544" width="46.42578125" bestFit="1" customWidth="1"/>
    <col min="12545" max="12545" width="8.7109375" customWidth="1"/>
    <col min="12546" max="12550" width="14.28515625" customWidth="1"/>
    <col min="12800" max="12800" width="46.42578125" bestFit="1" customWidth="1"/>
    <col min="12801" max="12801" width="8.7109375" customWidth="1"/>
    <col min="12802" max="12806" width="14.28515625" customWidth="1"/>
    <col min="13056" max="13056" width="46.42578125" bestFit="1" customWidth="1"/>
    <col min="13057" max="13057" width="8.7109375" customWidth="1"/>
    <col min="13058" max="13062" width="14.28515625" customWidth="1"/>
    <col min="13312" max="13312" width="46.42578125" bestFit="1" customWidth="1"/>
    <col min="13313" max="13313" width="8.7109375" customWidth="1"/>
    <col min="13314" max="13318" width="14.28515625" customWidth="1"/>
    <col min="13568" max="13568" width="46.42578125" bestFit="1" customWidth="1"/>
    <col min="13569" max="13569" width="8.7109375" customWidth="1"/>
    <col min="13570" max="13574" width="14.28515625" customWidth="1"/>
    <col min="13824" max="13824" width="46.42578125" bestFit="1" customWidth="1"/>
    <col min="13825" max="13825" width="8.7109375" customWidth="1"/>
    <col min="13826" max="13830" width="14.28515625" customWidth="1"/>
    <col min="14080" max="14080" width="46.42578125" bestFit="1" customWidth="1"/>
    <col min="14081" max="14081" width="8.7109375" customWidth="1"/>
    <col min="14082" max="14086" width="14.28515625" customWidth="1"/>
    <col min="14336" max="14336" width="46.42578125" bestFit="1" customWidth="1"/>
    <col min="14337" max="14337" width="8.7109375" customWidth="1"/>
    <col min="14338" max="14342" width="14.28515625" customWidth="1"/>
    <col min="14592" max="14592" width="46.42578125" bestFit="1" customWidth="1"/>
    <col min="14593" max="14593" width="8.7109375" customWidth="1"/>
    <col min="14594" max="14598" width="14.28515625" customWidth="1"/>
    <col min="14848" max="14848" width="46.42578125" bestFit="1" customWidth="1"/>
    <col min="14849" max="14849" width="8.7109375" customWidth="1"/>
    <col min="14850" max="14854" width="14.28515625" customWidth="1"/>
    <col min="15104" max="15104" width="46.42578125" bestFit="1" customWidth="1"/>
    <col min="15105" max="15105" width="8.7109375" customWidth="1"/>
    <col min="15106" max="15110" width="14.28515625" customWidth="1"/>
    <col min="15360" max="15360" width="46.42578125" bestFit="1" customWidth="1"/>
    <col min="15361" max="15361" width="8.7109375" customWidth="1"/>
    <col min="15362" max="15366" width="14.28515625" customWidth="1"/>
    <col min="15616" max="15616" width="46.42578125" bestFit="1" customWidth="1"/>
    <col min="15617" max="15617" width="8.7109375" customWidth="1"/>
    <col min="15618" max="15622" width="14.28515625" customWidth="1"/>
    <col min="15872" max="15872" width="46.42578125" bestFit="1" customWidth="1"/>
    <col min="15873" max="15873" width="8.7109375" customWidth="1"/>
    <col min="15874" max="15878" width="14.28515625" customWidth="1"/>
    <col min="16128" max="16128" width="46.42578125" bestFit="1" customWidth="1"/>
    <col min="16129" max="16129" width="8.7109375" customWidth="1"/>
    <col min="16130" max="16134" width="14.28515625" customWidth="1"/>
  </cols>
  <sheetData>
    <row r="3" spans="1:8" ht="15">
      <c r="A3" s="35" t="s">
        <v>1825</v>
      </c>
      <c r="B3" s="34"/>
      <c r="C3" s="34"/>
      <c r="D3" s="34"/>
      <c r="E3" s="34"/>
      <c r="F3" s="34"/>
    </row>
    <row r="4" spans="1:8" ht="15">
      <c r="A4" s="341" t="s">
        <v>389</v>
      </c>
      <c r="B4" s="341"/>
      <c r="C4" s="341"/>
      <c r="D4" s="341"/>
      <c r="E4" s="341"/>
      <c r="F4" s="341"/>
    </row>
    <row r="5" spans="1:8" ht="15" hidden="1">
      <c r="A5" s="36" t="s">
        <v>54</v>
      </c>
      <c r="B5" s="34"/>
      <c r="C5" s="34"/>
      <c r="D5" s="34"/>
      <c r="E5" s="34"/>
      <c r="F5" s="34"/>
    </row>
    <row r="6" spans="1:8" hidden="1">
      <c r="A6" s="37" t="s">
        <v>54</v>
      </c>
      <c r="B6" s="34"/>
      <c r="C6" s="34"/>
      <c r="D6" s="34"/>
      <c r="E6" s="34"/>
      <c r="F6" s="34"/>
    </row>
    <row r="7" spans="1:8" hidden="1">
      <c r="A7" s="342">
        <v>42460</v>
      </c>
      <c r="B7" s="342"/>
      <c r="C7" s="342"/>
      <c r="D7" s="342"/>
      <c r="E7" s="342"/>
      <c r="F7" s="342"/>
    </row>
    <row r="8" spans="1:8">
      <c r="A8" s="38"/>
      <c r="B8" s="38"/>
      <c r="C8" s="38"/>
      <c r="D8" s="38"/>
      <c r="E8" s="38"/>
      <c r="F8" s="38"/>
    </row>
    <row r="9" spans="1:8" ht="13.5" thickBot="1">
      <c r="C9" s="17" t="s">
        <v>251</v>
      </c>
      <c r="D9" s="17" t="s">
        <v>251</v>
      </c>
      <c r="E9" s="17" t="s">
        <v>251</v>
      </c>
      <c r="F9" s="17" t="s">
        <v>44</v>
      </c>
      <c r="G9" s="248" t="s">
        <v>1701</v>
      </c>
    </row>
    <row r="10" spans="1:8" ht="13.5" thickTop="1">
      <c r="A10" s="39"/>
      <c r="B10" s="40"/>
      <c r="C10" s="41" t="s">
        <v>55</v>
      </c>
      <c r="D10" s="41" t="s">
        <v>55</v>
      </c>
      <c r="E10" s="41" t="s">
        <v>55</v>
      </c>
      <c r="F10" s="41"/>
      <c r="G10" s="61"/>
    </row>
    <row r="11" spans="1:8" ht="13.5" thickBot="1">
      <c r="A11" s="42"/>
      <c r="B11" s="43"/>
      <c r="C11" s="44" t="s">
        <v>58</v>
      </c>
      <c r="D11" s="44" t="s">
        <v>57</v>
      </c>
      <c r="E11" s="44" t="s">
        <v>59</v>
      </c>
      <c r="F11" s="44" t="s">
        <v>57</v>
      </c>
      <c r="G11" s="62" t="s">
        <v>57</v>
      </c>
      <c r="H11" s="55" t="s">
        <v>252</v>
      </c>
    </row>
    <row r="12" spans="1:8" ht="13.5" thickTop="1">
      <c r="A12" s="45" t="s">
        <v>60</v>
      </c>
      <c r="B12" s="46"/>
      <c r="C12" s="47"/>
      <c r="D12" s="47"/>
      <c r="E12" s="47"/>
      <c r="F12" s="47"/>
    </row>
    <row r="13" spans="1:8">
      <c r="A13" s="30" t="s">
        <v>390</v>
      </c>
      <c r="B13" s="30" t="s">
        <v>391</v>
      </c>
      <c r="C13" s="56">
        <v>0</v>
      </c>
      <c r="D13" s="56">
        <v>113950</v>
      </c>
      <c r="E13" s="56">
        <v>113950</v>
      </c>
      <c r="F13" s="56">
        <v>113950</v>
      </c>
      <c r="G13" s="59">
        <f>'Fund Distributions'!K38</f>
        <v>113950</v>
      </c>
      <c r="H13" t="s">
        <v>1070</v>
      </c>
    </row>
    <row r="14" spans="1:8">
      <c r="A14" s="30"/>
      <c r="B14" s="30"/>
      <c r="C14" s="56"/>
      <c r="D14" s="56"/>
      <c r="E14" s="56"/>
      <c r="F14" s="56"/>
    </row>
    <row r="15" spans="1:8">
      <c r="A15" s="49" t="s">
        <v>115</v>
      </c>
      <c r="B15" s="50"/>
      <c r="C15" s="57">
        <v>0</v>
      </c>
      <c r="D15" s="57">
        <v>113950</v>
      </c>
      <c r="E15" s="57">
        <v>113950</v>
      </c>
      <c r="F15" s="57">
        <v>113950</v>
      </c>
      <c r="G15" s="75">
        <f>SUM(G13)</f>
        <v>113950</v>
      </c>
    </row>
    <row r="16" spans="1:8">
      <c r="A16" s="46"/>
      <c r="C16" s="56"/>
      <c r="D16" s="56"/>
      <c r="E16" s="56"/>
      <c r="F16" s="56"/>
    </row>
    <row r="17" spans="1:7">
      <c r="A17" s="45" t="s">
        <v>116</v>
      </c>
      <c r="C17" s="56"/>
      <c r="D17" s="56"/>
      <c r="E17" s="56"/>
      <c r="F17" s="56"/>
    </row>
    <row r="18" spans="1:7">
      <c r="A18" s="30" t="s">
        <v>392</v>
      </c>
      <c r="B18" s="30" t="s">
        <v>393</v>
      </c>
      <c r="C18" s="56">
        <v>16911</v>
      </c>
      <c r="D18" s="56">
        <v>25000</v>
      </c>
      <c r="E18" s="56">
        <v>8089</v>
      </c>
      <c r="F18" s="56">
        <v>25000</v>
      </c>
      <c r="G18" s="59">
        <v>25000</v>
      </c>
    </row>
    <row r="19" spans="1:7">
      <c r="A19" s="30" t="s">
        <v>394</v>
      </c>
      <c r="B19" s="30" t="s">
        <v>395</v>
      </c>
      <c r="C19" s="56">
        <v>517.04999999999995</v>
      </c>
      <c r="D19" s="56">
        <v>2000</v>
      </c>
      <c r="E19" s="56">
        <v>1482.95</v>
      </c>
      <c r="F19" s="56">
        <v>1000</v>
      </c>
      <c r="G19" s="59">
        <v>1000</v>
      </c>
    </row>
    <row r="20" spans="1:7">
      <c r="A20" s="30" t="s">
        <v>396</v>
      </c>
      <c r="B20" s="30" t="s">
        <v>397</v>
      </c>
      <c r="C20" s="56">
        <v>3097.14</v>
      </c>
      <c r="D20" s="56">
        <v>4200</v>
      </c>
      <c r="E20" s="56">
        <v>1102.8600000000001</v>
      </c>
      <c r="F20" s="56">
        <v>4200</v>
      </c>
      <c r="G20" s="59">
        <v>4200</v>
      </c>
    </row>
    <row r="21" spans="1:7">
      <c r="A21" s="30" t="s">
        <v>398</v>
      </c>
      <c r="B21" s="30" t="s">
        <v>399</v>
      </c>
      <c r="C21" s="56">
        <v>3600</v>
      </c>
      <c r="D21" s="56">
        <v>4500</v>
      </c>
      <c r="E21" s="56">
        <v>900</v>
      </c>
      <c r="F21" s="56">
        <v>4500</v>
      </c>
      <c r="G21" s="59">
        <v>4500</v>
      </c>
    </row>
    <row r="22" spans="1:7">
      <c r="A22" s="30" t="s">
        <v>400</v>
      </c>
      <c r="B22" s="30" t="s">
        <v>401</v>
      </c>
      <c r="C22" s="56">
        <v>0</v>
      </c>
      <c r="D22" s="56">
        <v>650</v>
      </c>
      <c r="E22" s="56">
        <v>650</v>
      </c>
      <c r="F22" s="56">
        <v>650</v>
      </c>
      <c r="G22" s="59">
        <v>650</v>
      </c>
    </row>
    <row r="23" spans="1:7">
      <c r="A23" s="30" t="s">
        <v>402</v>
      </c>
      <c r="B23" s="30" t="s">
        <v>403</v>
      </c>
      <c r="C23" s="56">
        <v>0</v>
      </c>
      <c r="D23" s="56">
        <v>7500</v>
      </c>
      <c r="E23" s="56">
        <v>7500</v>
      </c>
      <c r="F23" s="56">
        <v>7500</v>
      </c>
      <c r="G23" s="59">
        <v>7500</v>
      </c>
    </row>
    <row r="24" spans="1:7">
      <c r="A24" s="30" t="s">
        <v>404</v>
      </c>
      <c r="B24" s="30" t="s">
        <v>405</v>
      </c>
      <c r="C24" s="56">
        <v>0</v>
      </c>
      <c r="D24" s="56">
        <v>2500</v>
      </c>
      <c r="E24" s="56">
        <v>2500</v>
      </c>
      <c r="F24" s="56">
        <v>2500</v>
      </c>
      <c r="G24" s="59">
        <v>2500</v>
      </c>
    </row>
    <row r="25" spans="1:7">
      <c r="A25" s="30" t="s">
        <v>406</v>
      </c>
      <c r="B25" s="30" t="s">
        <v>407</v>
      </c>
      <c r="C25" s="56">
        <v>0</v>
      </c>
      <c r="D25" s="56">
        <v>2500</v>
      </c>
      <c r="E25" s="56">
        <v>2500</v>
      </c>
      <c r="F25" s="56">
        <v>2500</v>
      </c>
      <c r="G25" s="59">
        <v>2500</v>
      </c>
    </row>
    <row r="26" spans="1:7">
      <c r="A26" s="30" t="s">
        <v>408</v>
      </c>
      <c r="B26" s="30" t="s">
        <v>409</v>
      </c>
      <c r="C26" s="56">
        <v>0</v>
      </c>
      <c r="D26" s="56">
        <v>3500</v>
      </c>
      <c r="E26" s="56">
        <v>3500</v>
      </c>
      <c r="F26" s="56">
        <v>3500</v>
      </c>
      <c r="G26" s="59">
        <v>3500</v>
      </c>
    </row>
    <row r="27" spans="1:7">
      <c r="A27" s="30" t="s">
        <v>410</v>
      </c>
      <c r="B27" s="30" t="s">
        <v>411</v>
      </c>
      <c r="C27" s="56">
        <v>0</v>
      </c>
      <c r="D27" s="56">
        <v>5500</v>
      </c>
      <c r="E27" s="56">
        <v>5500</v>
      </c>
      <c r="F27" s="56">
        <v>5500</v>
      </c>
      <c r="G27" s="59">
        <v>5500</v>
      </c>
    </row>
    <row r="28" spans="1:7">
      <c r="A28" s="30" t="s">
        <v>412</v>
      </c>
      <c r="B28" s="30" t="s">
        <v>413</v>
      </c>
      <c r="C28" s="56">
        <v>0</v>
      </c>
      <c r="D28" s="56">
        <v>650</v>
      </c>
      <c r="E28" s="56">
        <v>650</v>
      </c>
      <c r="F28" s="56">
        <v>0</v>
      </c>
      <c r="G28" s="59">
        <v>0</v>
      </c>
    </row>
    <row r="29" spans="1:7">
      <c r="A29" s="30" t="s">
        <v>414</v>
      </c>
      <c r="B29" s="30" t="s">
        <v>415</v>
      </c>
      <c r="C29" s="56">
        <v>1180.95</v>
      </c>
      <c r="D29" s="56">
        <v>4000</v>
      </c>
      <c r="E29" s="56">
        <v>2819.05</v>
      </c>
      <c r="F29" s="56">
        <v>2000</v>
      </c>
      <c r="G29" s="59">
        <v>2000</v>
      </c>
    </row>
    <row r="30" spans="1:7">
      <c r="A30" s="30" t="s">
        <v>416</v>
      </c>
      <c r="B30" s="30" t="s">
        <v>417</v>
      </c>
      <c r="C30" s="56">
        <v>0</v>
      </c>
      <c r="D30" s="56">
        <v>6500</v>
      </c>
      <c r="E30" s="56">
        <v>6500</v>
      </c>
      <c r="F30" s="56">
        <v>6500</v>
      </c>
      <c r="G30" s="59">
        <v>6500</v>
      </c>
    </row>
    <row r="31" spans="1:7">
      <c r="A31" s="30" t="s">
        <v>418</v>
      </c>
      <c r="B31" s="30" t="s">
        <v>419</v>
      </c>
      <c r="C31" s="56">
        <v>2019.35</v>
      </c>
      <c r="D31" s="56">
        <v>7500</v>
      </c>
      <c r="E31" s="56">
        <v>5480.65</v>
      </c>
      <c r="F31" s="56">
        <v>4000</v>
      </c>
      <c r="G31" s="59">
        <v>4000</v>
      </c>
    </row>
    <row r="32" spans="1:7">
      <c r="A32" s="30" t="s">
        <v>420</v>
      </c>
      <c r="B32" s="30" t="s">
        <v>421</v>
      </c>
      <c r="C32" s="56">
        <v>550.41999999999996</v>
      </c>
      <c r="D32" s="56">
        <v>0</v>
      </c>
      <c r="E32" s="56">
        <v>-550.41999999999996</v>
      </c>
      <c r="F32" s="56">
        <v>0</v>
      </c>
      <c r="G32" s="59">
        <v>0</v>
      </c>
    </row>
    <row r="33" spans="1:7">
      <c r="A33" s="30" t="s">
        <v>422</v>
      </c>
      <c r="B33" s="30" t="s">
        <v>423</v>
      </c>
      <c r="C33" s="56">
        <v>1022.96</v>
      </c>
      <c r="D33" s="56">
        <v>6000</v>
      </c>
      <c r="E33" s="56">
        <v>4977.04</v>
      </c>
      <c r="F33" s="56">
        <v>2000</v>
      </c>
      <c r="G33" s="59">
        <v>2000</v>
      </c>
    </row>
    <row r="34" spans="1:7">
      <c r="A34" s="30" t="s">
        <v>424</v>
      </c>
      <c r="B34" s="30" t="s">
        <v>425</v>
      </c>
      <c r="C34" s="56">
        <v>0</v>
      </c>
      <c r="D34" s="56">
        <v>3000</v>
      </c>
      <c r="E34" s="56">
        <v>3000</v>
      </c>
      <c r="F34" s="56">
        <v>0</v>
      </c>
      <c r="G34" s="59">
        <v>0</v>
      </c>
    </row>
    <row r="35" spans="1:7">
      <c r="A35" s="30" t="s">
        <v>426</v>
      </c>
      <c r="B35" s="30" t="s">
        <v>427</v>
      </c>
      <c r="C35" s="56">
        <v>0</v>
      </c>
      <c r="D35" s="56">
        <v>3200</v>
      </c>
      <c r="E35" s="56">
        <v>3200</v>
      </c>
      <c r="F35" s="56">
        <v>0</v>
      </c>
      <c r="G35" s="59">
        <v>0</v>
      </c>
    </row>
    <row r="36" spans="1:7">
      <c r="C36" s="56"/>
      <c r="D36" s="56"/>
      <c r="E36" s="56"/>
      <c r="F36" s="56"/>
    </row>
    <row r="37" spans="1:7">
      <c r="A37" s="49" t="s">
        <v>249</v>
      </c>
      <c r="B37" s="52"/>
      <c r="C37" s="57">
        <v>28898.869999999995</v>
      </c>
      <c r="D37" s="57">
        <v>88700</v>
      </c>
      <c r="E37" s="57">
        <v>59801.130000000005</v>
      </c>
      <c r="F37" s="57">
        <v>71350</v>
      </c>
      <c r="G37" s="75">
        <f>SUM(G18:G35)</f>
        <v>71350</v>
      </c>
    </row>
    <row r="38" spans="1:7">
      <c r="C38" s="56"/>
      <c r="D38" s="56"/>
      <c r="E38" s="56"/>
      <c r="F38" s="56"/>
    </row>
    <row r="39" spans="1:7" ht="13.5" thickBot="1">
      <c r="A39" s="43" t="s">
        <v>250</v>
      </c>
      <c r="B39" s="53"/>
      <c r="C39" s="54">
        <v>-28898.869999999995</v>
      </c>
      <c r="D39" s="54">
        <v>25250</v>
      </c>
      <c r="E39" s="54">
        <v>54148.869999999995</v>
      </c>
      <c r="F39" s="54">
        <v>42600</v>
      </c>
      <c r="G39" s="73">
        <f>G15-G37</f>
        <v>42600</v>
      </c>
    </row>
    <row r="40" spans="1:7" ht="13.5" thickTop="1"/>
  </sheetData>
  <mergeCells count="2">
    <mergeCell ref="A4:F4"/>
    <mergeCell ref="A7:F7"/>
  </mergeCells>
  <pageMargins left="0.7" right="0.7" top="0.75" bottom="0.75" header="0.3" footer="0.3"/>
  <pageSetup orientation="landscape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47"/>
  <sheetViews>
    <sheetView zoomScale="150" zoomScaleNormal="150" workbookViewId="0">
      <selection activeCell="A18" sqref="A18"/>
    </sheetView>
  </sheetViews>
  <sheetFormatPr defaultRowHeight="12.75"/>
  <cols>
    <col min="1" max="1" width="46.42578125" bestFit="1" customWidth="1"/>
    <col min="2" max="2" width="8.7109375" customWidth="1"/>
    <col min="3" max="5" width="14.28515625" hidden="1" customWidth="1"/>
    <col min="6" max="6" width="14.28515625" customWidth="1"/>
    <col min="7" max="7" width="10.7109375" style="59" bestFit="1" customWidth="1"/>
    <col min="8" max="8" width="27.7109375" bestFit="1" customWidth="1"/>
    <col min="256" max="256" width="46.42578125" bestFit="1" customWidth="1"/>
    <col min="257" max="257" width="8.7109375" customWidth="1"/>
    <col min="258" max="262" width="14.28515625" customWidth="1"/>
    <col min="512" max="512" width="46.42578125" bestFit="1" customWidth="1"/>
    <col min="513" max="513" width="8.7109375" customWidth="1"/>
    <col min="514" max="518" width="14.28515625" customWidth="1"/>
    <col min="768" max="768" width="46.42578125" bestFit="1" customWidth="1"/>
    <col min="769" max="769" width="8.7109375" customWidth="1"/>
    <col min="770" max="774" width="14.28515625" customWidth="1"/>
    <col min="1024" max="1024" width="46.42578125" bestFit="1" customWidth="1"/>
    <col min="1025" max="1025" width="8.7109375" customWidth="1"/>
    <col min="1026" max="1030" width="14.28515625" customWidth="1"/>
    <col min="1280" max="1280" width="46.42578125" bestFit="1" customWidth="1"/>
    <col min="1281" max="1281" width="8.7109375" customWidth="1"/>
    <col min="1282" max="1286" width="14.28515625" customWidth="1"/>
    <col min="1536" max="1536" width="46.42578125" bestFit="1" customWidth="1"/>
    <col min="1537" max="1537" width="8.7109375" customWidth="1"/>
    <col min="1538" max="1542" width="14.28515625" customWidth="1"/>
    <col min="1792" max="1792" width="46.42578125" bestFit="1" customWidth="1"/>
    <col min="1793" max="1793" width="8.7109375" customWidth="1"/>
    <col min="1794" max="1798" width="14.28515625" customWidth="1"/>
    <col min="2048" max="2048" width="46.42578125" bestFit="1" customWidth="1"/>
    <col min="2049" max="2049" width="8.7109375" customWidth="1"/>
    <col min="2050" max="2054" width="14.28515625" customWidth="1"/>
    <col min="2304" max="2304" width="46.42578125" bestFit="1" customWidth="1"/>
    <col min="2305" max="2305" width="8.7109375" customWidth="1"/>
    <col min="2306" max="2310" width="14.28515625" customWidth="1"/>
    <col min="2560" max="2560" width="46.42578125" bestFit="1" customWidth="1"/>
    <col min="2561" max="2561" width="8.7109375" customWidth="1"/>
    <col min="2562" max="2566" width="14.28515625" customWidth="1"/>
    <col min="2816" max="2816" width="46.42578125" bestFit="1" customWidth="1"/>
    <col min="2817" max="2817" width="8.7109375" customWidth="1"/>
    <col min="2818" max="2822" width="14.28515625" customWidth="1"/>
    <col min="3072" max="3072" width="46.42578125" bestFit="1" customWidth="1"/>
    <col min="3073" max="3073" width="8.7109375" customWidth="1"/>
    <col min="3074" max="3078" width="14.28515625" customWidth="1"/>
    <col min="3328" max="3328" width="46.42578125" bestFit="1" customWidth="1"/>
    <col min="3329" max="3329" width="8.7109375" customWidth="1"/>
    <col min="3330" max="3334" width="14.28515625" customWidth="1"/>
    <col min="3584" max="3584" width="46.42578125" bestFit="1" customWidth="1"/>
    <col min="3585" max="3585" width="8.7109375" customWidth="1"/>
    <col min="3586" max="3590" width="14.28515625" customWidth="1"/>
    <col min="3840" max="3840" width="46.42578125" bestFit="1" customWidth="1"/>
    <col min="3841" max="3841" width="8.7109375" customWidth="1"/>
    <col min="3842" max="3846" width="14.28515625" customWidth="1"/>
    <col min="4096" max="4096" width="46.42578125" bestFit="1" customWidth="1"/>
    <col min="4097" max="4097" width="8.7109375" customWidth="1"/>
    <col min="4098" max="4102" width="14.28515625" customWidth="1"/>
    <col min="4352" max="4352" width="46.42578125" bestFit="1" customWidth="1"/>
    <col min="4353" max="4353" width="8.7109375" customWidth="1"/>
    <col min="4354" max="4358" width="14.28515625" customWidth="1"/>
    <col min="4608" max="4608" width="46.42578125" bestFit="1" customWidth="1"/>
    <col min="4609" max="4609" width="8.7109375" customWidth="1"/>
    <col min="4610" max="4614" width="14.28515625" customWidth="1"/>
    <col min="4864" max="4864" width="46.42578125" bestFit="1" customWidth="1"/>
    <col min="4865" max="4865" width="8.7109375" customWidth="1"/>
    <col min="4866" max="4870" width="14.28515625" customWidth="1"/>
    <col min="5120" max="5120" width="46.42578125" bestFit="1" customWidth="1"/>
    <col min="5121" max="5121" width="8.7109375" customWidth="1"/>
    <col min="5122" max="5126" width="14.28515625" customWidth="1"/>
    <col min="5376" max="5376" width="46.42578125" bestFit="1" customWidth="1"/>
    <col min="5377" max="5377" width="8.7109375" customWidth="1"/>
    <col min="5378" max="5382" width="14.28515625" customWidth="1"/>
    <col min="5632" max="5632" width="46.42578125" bestFit="1" customWidth="1"/>
    <col min="5633" max="5633" width="8.7109375" customWidth="1"/>
    <col min="5634" max="5638" width="14.28515625" customWidth="1"/>
    <col min="5888" max="5888" width="46.42578125" bestFit="1" customWidth="1"/>
    <col min="5889" max="5889" width="8.7109375" customWidth="1"/>
    <col min="5890" max="5894" width="14.28515625" customWidth="1"/>
    <col min="6144" max="6144" width="46.42578125" bestFit="1" customWidth="1"/>
    <col min="6145" max="6145" width="8.7109375" customWidth="1"/>
    <col min="6146" max="6150" width="14.28515625" customWidth="1"/>
    <col min="6400" max="6400" width="46.42578125" bestFit="1" customWidth="1"/>
    <col min="6401" max="6401" width="8.7109375" customWidth="1"/>
    <col min="6402" max="6406" width="14.28515625" customWidth="1"/>
    <col min="6656" max="6656" width="46.42578125" bestFit="1" customWidth="1"/>
    <col min="6657" max="6657" width="8.7109375" customWidth="1"/>
    <col min="6658" max="6662" width="14.28515625" customWidth="1"/>
    <col min="6912" max="6912" width="46.42578125" bestFit="1" customWidth="1"/>
    <col min="6913" max="6913" width="8.7109375" customWidth="1"/>
    <col min="6914" max="6918" width="14.28515625" customWidth="1"/>
    <col min="7168" max="7168" width="46.42578125" bestFit="1" customWidth="1"/>
    <col min="7169" max="7169" width="8.7109375" customWidth="1"/>
    <col min="7170" max="7174" width="14.28515625" customWidth="1"/>
    <col min="7424" max="7424" width="46.42578125" bestFit="1" customWidth="1"/>
    <col min="7425" max="7425" width="8.7109375" customWidth="1"/>
    <col min="7426" max="7430" width="14.28515625" customWidth="1"/>
    <col min="7680" max="7680" width="46.42578125" bestFit="1" customWidth="1"/>
    <col min="7681" max="7681" width="8.7109375" customWidth="1"/>
    <col min="7682" max="7686" width="14.28515625" customWidth="1"/>
    <col min="7936" max="7936" width="46.42578125" bestFit="1" customWidth="1"/>
    <col min="7937" max="7937" width="8.7109375" customWidth="1"/>
    <col min="7938" max="7942" width="14.28515625" customWidth="1"/>
    <col min="8192" max="8192" width="46.42578125" bestFit="1" customWidth="1"/>
    <col min="8193" max="8193" width="8.7109375" customWidth="1"/>
    <col min="8194" max="8198" width="14.28515625" customWidth="1"/>
    <col min="8448" max="8448" width="46.42578125" bestFit="1" customWidth="1"/>
    <col min="8449" max="8449" width="8.7109375" customWidth="1"/>
    <col min="8450" max="8454" width="14.28515625" customWidth="1"/>
    <col min="8704" max="8704" width="46.42578125" bestFit="1" customWidth="1"/>
    <col min="8705" max="8705" width="8.7109375" customWidth="1"/>
    <col min="8706" max="8710" width="14.28515625" customWidth="1"/>
    <col min="8960" max="8960" width="46.42578125" bestFit="1" customWidth="1"/>
    <col min="8961" max="8961" width="8.7109375" customWidth="1"/>
    <col min="8962" max="8966" width="14.28515625" customWidth="1"/>
    <col min="9216" max="9216" width="46.42578125" bestFit="1" customWidth="1"/>
    <col min="9217" max="9217" width="8.7109375" customWidth="1"/>
    <col min="9218" max="9222" width="14.28515625" customWidth="1"/>
    <col min="9472" max="9472" width="46.42578125" bestFit="1" customWidth="1"/>
    <col min="9473" max="9473" width="8.7109375" customWidth="1"/>
    <col min="9474" max="9478" width="14.28515625" customWidth="1"/>
    <col min="9728" max="9728" width="46.42578125" bestFit="1" customWidth="1"/>
    <col min="9729" max="9729" width="8.7109375" customWidth="1"/>
    <col min="9730" max="9734" width="14.28515625" customWidth="1"/>
    <col min="9984" max="9984" width="46.42578125" bestFit="1" customWidth="1"/>
    <col min="9985" max="9985" width="8.7109375" customWidth="1"/>
    <col min="9986" max="9990" width="14.28515625" customWidth="1"/>
    <col min="10240" max="10240" width="46.42578125" bestFit="1" customWidth="1"/>
    <col min="10241" max="10241" width="8.7109375" customWidth="1"/>
    <col min="10242" max="10246" width="14.28515625" customWidth="1"/>
    <col min="10496" max="10496" width="46.42578125" bestFit="1" customWidth="1"/>
    <col min="10497" max="10497" width="8.7109375" customWidth="1"/>
    <col min="10498" max="10502" width="14.28515625" customWidth="1"/>
    <col min="10752" max="10752" width="46.42578125" bestFit="1" customWidth="1"/>
    <col min="10753" max="10753" width="8.7109375" customWidth="1"/>
    <col min="10754" max="10758" width="14.28515625" customWidth="1"/>
    <col min="11008" max="11008" width="46.42578125" bestFit="1" customWidth="1"/>
    <col min="11009" max="11009" width="8.7109375" customWidth="1"/>
    <col min="11010" max="11014" width="14.28515625" customWidth="1"/>
    <col min="11264" max="11264" width="46.42578125" bestFit="1" customWidth="1"/>
    <col min="11265" max="11265" width="8.7109375" customWidth="1"/>
    <col min="11266" max="11270" width="14.28515625" customWidth="1"/>
    <col min="11520" max="11520" width="46.42578125" bestFit="1" customWidth="1"/>
    <col min="11521" max="11521" width="8.7109375" customWidth="1"/>
    <col min="11522" max="11526" width="14.28515625" customWidth="1"/>
    <col min="11776" max="11776" width="46.42578125" bestFit="1" customWidth="1"/>
    <col min="11777" max="11777" width="8.7109375" customWidth="1"/>
    <col min="11778" max="11782" width="14.28515625" customWidth="1"/>
    <col min="12032" max="12032" width="46.42578125" bestFit="1" customWidth="1"/>
    <col min="12033" max="12033" width="8.7109375" customWidth="1"/>
    <col min="12034" max="12038" width="14.28515625" customWidth="1"/>
    <col min="12288" max="12288" width="46.42578125" bestFit="1" customWidth="1"/>
    <col min="12289" max="12289" width="8.7109375" customWidth="1"/>
    <col min="12290" max="12294" width="14.28515625" customWidth="1"/>
    <col min="12544" max="12544" width="46.42578125" bestFit="1" customWidth="1"/>
    <col min="12545" max="12545" width="8.7109375" customWidth="1"/>
    <col min="12546" max="12550" width="14.28515625" customWidth="1"/>
    <col min="12800" max="12800" width="46.42578125" bestFit="1" customWidth="1"/>
    <col min="12801" max="12801" width="8.7109375" customWidth="1"/>
    <col min="12802" max="12806" width="14.28515625" customWidth="1"/>
    <col min="13056" max="13056" width="46.42578125" bestFit="1" customWidth="1"/>
    <col min="13057" max="13057" width="8.7109375" customWidth="1"/>
    <col min="13058" max="13062" width="14.28515625" customWidth="1"/>
    <col min="13312" max="13312" width="46.42578125" bestFit="1" customWidth="1"/>
    <col min="13313" max="13313" width="8.7109375" customWidth="1"/>
    <col min="13314" max="13318" width="14.28515625" customWidth="1"/>
    <col min="13568" max="13568" width="46.42578125" bestFit="1" customWidth="1"/>
    <col min="13569" max="13569" width="8.7109375" customWidth="1"/>
    <col min="13570" max="13574" width="14.28515625" customWidth="1"/>
    <col min="13824" max="13824" width="46.42578125" bestFit="1" customWidth="1"/>
    <col min="13825" max="13825" width="8.7109375" customWidth="1"/>
    <col min="13826" max="13830" width="14.28515625" customWidth="1"/>
    <col min="14080" max="14080" width="46.42578125" bestFit="1" customWidth="1"/>
    <col min="14081" max="14081" width="8.7109375" customWidth="1"/>
    <col min="14082" max="14086" width="14.28515625" customWidth="1"/>
    <col min="14336" max="14336" width="46.42578125" bestFit="1" customWidth="1"/>
    <col min="14337" max="14337" width="8.7109375" customWidth="1"/>
    <col min="14338" max="14342" width="14.28515625" customWidth="1"/>
    <col min="14592" max="14592" width="46.42578125" bestFit="1" customWidth="1"/>
    <col min="14593" max="14593" width="8.7109375" customWidth="1"/>
    <col min="14594" max="14598" width="14.28515625" customWidth="1"/>
    <col min="14848" max="14848" width="46.42578125" bestFit="1" customWidth="1"/>
    <col min="14849" max="14849" width="8.7109375" customWidth="1"/>
    <col min="14850" max="14854" width="14.28515625" customWidth="1"/>
    <col min="15104" max="15104" width="46.42578125" bestFit="1" customWidth="1"/>
    <col min="15105" max="15105" width="8.7109375" customWidth="1"/>
    <col min="15106" max="15110" width="14.28515625" customWidth="1"/>
    <col min="15360" max="15360" width="46.42578125" bestFit="1" customWidth="1"/>
    <col min="15361" max="15361" width="8.7109375" customWidth="1"/>
    <col min="15362" max="15366" width="14.28515625" customWidth="1"/>
    <col min="15616" max="15616" width="46.42578125" bestFit="1" customWidth="1"/>
    <col min="15617" max="15617" width="8.7109375" customWidth="1"/>
    <col min="15618" max="15622" width="14.28515625" customWidth="1"/>
    <col min="15872" max="15872" width="46.42578125" bestFit="1" customWidth="1"/>
    <col min="15873" max="15873" width="8.7109375" customWidth="1"/>
    <col min="15874" max="15878" width="14.28515625" customWidth="1"/>
    <col min="16128" max="16128" width="46.42578125" bestFit="1" customWidth="1"/>
    <col min="16129" max="16129" width="8.7109375" customWidth="1"/>
    <col min="16130" max="16134" width="14.28515625" customWidth="1"/>
  </cols>
  <sheetData>
    <row r="3" spans="1:8" ht="15">
      <c r="A3" s="35" t="s">
        <v>1825</v>
      </c>
      <c r="B3" s="34"/>
      <c r="C3" s="34"/>
      <c r="D3" s="34"/>
      <c r="E3" s="34"/>
      <c r="F3" s="34"/>
    </row>
    <row r="4" spans="1:8" ht="15">
      <c r="A4" s="341" t="s">
        <v>428</v>
      </c>
      <c r="B4" s="341"/>
      <c r="C4" s="341"/>
      <c r="D4" s="341"/>
      <c r="E4" s="341"/>
      <c r="F4" s="341"/>
    </row>
    <row r="5" spans="1:8" ht="15" hidden="1">
      <c r="A5" s="36" t="s">
        <v>54</v>
      </c>
      <c r="B5" s="34"/>
      <c r="C5" s="34"/>
      <c r="D5" s="34"/>
      <c r="E5" s="34"/>
      <c r="F5" s="34"/>
    </row>
    <row r="6" spans="1:8" hidden="1">
      <c r="A6" s="37" t="s">
        <v>54</v>
      </c>
      <c r="B6" s="34"/>
      <c r="C6" s="34"/>
      <c r="D6" s="34"/>
      <c r="E6" s="34"/>
      <c r="F6" s="34"/>
    </row>
    <row r="7" spans="1:8" hidden="1">
      <c r="A7" s="342">
        <v>42460</v>
      </c>
      <c r="B7" s="342"/>
      <c r="C7" s="342"/>
      <c r="D7" s="342"/>
      <c r="E7" s="342"/>
      <c r="F7" s="342"/>
    </row>
    <row r="8" spans="1:8">
      <c r="A8" s="38"/>
      <c r="B8" s="38"/>
      <c r="C8" s="38"/>
      <c r="D8" s="38"/>
      <c r="E8" s="38"/>
      <c r="F8" s="38"/>
    </row>
    <row r="9" spans="1:8" ht="13.5" thickBot="1">
      <c r="C9" s="17" t="s">
        <v>251</v>
      </c>
      <c r="D9" s="17" t="s">
        <v>251</v>
      </c>
      <c r="E9" s="17" t="s">
        <v>251</v>
      </c>
      <c r="F9" s="17" t="s">
        <v>44</v>
      </c>
      <c r="G9" s="248" t="s">
        <v>1701</v>
      </c>
    </row>
    <row r="10" spans="1:8" ht="13.5" thickTop="1">
      <c r="A10" s="39"/>
      <c r="B10" s="40"/>
      <c r="C10" s="41" t="s">
        <v>55</v>
      </c>
      <c r="D10" s="41" t="s">
        <v>55</v>
      </c>
      <c r="E10" s="41" t="s">
        <v>55</v>
      </c>
      <c r="F10" s="41"/>
      <c r="G10" s="61"/>
    </row>
    <row r="11" spans="1:8" ht="13.5" thickBot="1">
      <c r="A11" s="42"/>
      <c r="B11" s="43"/>
      <c r="C11" s="44" t="s">
        <v>58</v>
      </c>
      <c r="D11" s="44" t="s">
        <v>57</v>
      </c>
      <c r="E11" s="44" t="s">
        <v>59</v>
      </c>
      <c r="F11" s="44" t="s">
        <v>57</v>
      </c>
      <c r="G11" s="62" t="s">
        <v>57</v>
      </c>
      <c r="H11" s="55" t="s">
        <v>252</v>
      </c>
    </row>
    <row r="12" spans="1:8" ht="13.5" thickTop="1">
      <c r="A12" s="45" t="s">
        <v>60</v>
      </c>
      <c r="B12" s="46"/>
      <c r="C12" s="47"/>
      <c r="D12" s="47"/>
      <c r="E12" s="47"/>
      <c r="F12" s="47"/>
    </row>
    <row r="13" spans="1:8">
      <c r="A13" s="30" t="s">
        <v>429</v>
      </c>
      <c r="B13" s="30" t="s">
        <v>430</v>
      </c>
      <c r="C13" s="56">
        <v>0</v>
      </c>
      <c r="D13" s="56">
        <v>265641</v>
      </c>
      <c r="E13" s="56">
        <v>265641</v>
      </c>
      <c r="F13" s="56">
        <v>265641</v>
      </c>
      <c r="G13" s="59">
        <f>'Fund Distributions'!K39</f>
        <v>265641</v>
      </c>
      <c r="H13" t="s">
        <v>1070</v>
      </c>
    </row>
    <row r="14" spans="1:8">
      <c r="A14" s="30" t="s">
        <v>431</v>
      </c>
      <c r="B14" s="30" t="s">
        <v>432</v>
      </c>
      <c r="C14" s="56">
        <v>105</v>
      </c>
      <c r="D14" s="56">
        <v>0</v>
      </c>
      <c r="E14" s="56">
        <v>-105</v>
      </c>
      <c r="F14" s="56">
        <v>0</v>
      </c>
      <c r="G14" s="59">
        <v>0</v>
      </c>
    </row>
    <row r="15" spans="1:8">
      <c r="A15" s="30" t="s">
        <v>706</v>
      </c>
      <c r="B15" s="30"/>
      <c r="C15" s="56"/>
      <c r="D15" s="56"/>
      <c r="E15" s="56"/>
      <c r="F15" s="56">
        <v>15000</v>
      </c>
      <c r="G15" s="59">
        <f>'Dept 19'!G19</f>
        <v>0</v>
      </c>
    </row>
    <row r="16" spans="1:8">
      <c r="A16" s="30" t="s">
        <v>433</v>
      </c>
      <c r="B16" s="30" t="s">
        <v>434</v>
      </c>
      <c r="C16" s="56">
        <v>0</v>
      </c>
      <c r="D16" s="56">
        <v>3000</v>
      </c>
      <c r="E16" s="56">
        <v>3000</v>
      </c>
      <c r="F16" s="56">
        <v>0</v>
      </c>
      <c r="G16" s="59">
        <v>0</v>
      </c>
    </row>
    <row r="17" spans="1:8">
      <c r="A17" s="30" t="s">
        <v>1838</v>
      </c>
      <c r="B17" s="30" t="s">
        <v>435</v>
      </c>
      <c r="C17" s="56">
        <v>2000</v>
      </c>
      <c r="D17" s="56">
        <v>90000</v>
      </c>
      <c r="E17" s="56">
        <v>88000</v>
      </c>
      <c r="F17" s="56">
        <v>90000</v>
      </c>
      <c r="G17" s="59">
        <f>'Fund Distributions'!K43</f>
        <v>90000</v>
      </c>
      <c r="H17" t="s">
        <v>1070</v>
      </c>
    </row>
    <row r="18" spans="1:8">
      <c r="A18" s="49" t="s">
        <v>115</v>
      </c>
      <c r="B18" s="50"/>
      <c r="C18" s="57">
        <v>2105</v>
      </c>
      <c r="D18" s="57">
        <v>358641</v>
      </c>
      <c r="E18" s="57">
        <v>356536</v>
      </c>
      <c r="F18" s="57">
        <v>370641</v>
      </c>
      <c r="G18" s="75">
        <f>SUM(G13:G17)</f>
        <v>355641</v>
      </c>
    </row>
    <row r="19" spans="1:8">
      <c r="A19" s="46"/>
      <c r="C19" s="56"/>
      <c r="D19" s="56"/>
      <c r="E19" s="56"/>
      <c r="F19" s="56"/>
    </row>
    <row r="20" spans="1:8">
      <c r="A20" s="45" t="s">
        <v>116</v>
      </c>
      <c r="C20" s="56"/>
      <c r="D20" s="56"/>
      <c r="E20" s="56"/>
      <c r="F20" s="56"/>
    </row>
    <row r="21" spans="1:8">
      <c r="A21" s="30" t="s">
        <v>1812</v>
      </c>
      <c r="B21" s="30" t="s">
        <v>436</v>
      </c>
      <c r="C21" s="56">
        <v>58809.3</v>
      </c>
      <c r="D21" s="56">
        <v>54604.4</v>
      </c>
      <c r="E21" s="56">
        <v>-4204.9000000000015</v>
      </c>
      <c r="F21" s="56">
        <v>36296</v>
      </c>
      <c r="G21" s="59">
        <v>37577.25</v>
      </c>
    </row>
    <row r="22" spans="1:8">
      <c r="A22" s="30" t="s">
        <v>1813</v>
      </c>
      <c r="B22" s="30" t="s">
        <v>437</v>
      </c>
      <c r="C22" s="56">
        <v>35793.800000000003</v>
      </c>
      <c r="D22" s="56">
        <v>46142.2</v>
      </c>
      <c r="E22" s="56">
        <v>10348.399999999994</v>
      </c>
      <c r="F22" s="56">
        <v>46145</v>
      </c>
      <c r="G22" s="59">
        <v>40206.400000000001</v>
      </c>
    </row>
    <row r="23" spans="1:8">
      <c r="A23" s="30" t="s">
        <v>438</v>
      </c>
      <c r="B23" s="30" t="s">
        <v>439</v>
      </c>
      <c r="C23" s="56">
        <v>0</v>
      </c>
      <c r="D23" s="56">
        <v>14568</v>
      </c>
      <c r="E23" s="56">
        <v>14568</v>
      </c>
      <c r="F23" s="56">
        <v>14928</v>
      </c>
      <c r="G23" s="59">
        <v>14928</v>
      </c>
    </row>
    <row r="24" spans="1:8">
      <c r="A24" s="30" t="s">
        <v>440</v>
      </c>
      <c r="B24" s="30" t="s">
        <v>441</v>
      </c>
      <c r="C24" s="56">
        <v>2362.4699999999998</v>
      </c>
      <c r="D24" s="56">
        <v>2500</v>
      </c>
      <c r="E24" s="56">
        <v>137.5300000000002</v>
      </c>
      <c r="F24" s="56">
        <v>3149.96</v>
      </c>
      <c r="G24" s="59">
        <f>C24/9*12</f>
        <v>3149.96</v>
      </c>
    </row>
    <row r="25" spans="1:8">
      <c r="A25" s="30" t="s">
        <v>442</v>
      </c>
      <c r="B25" s="30" t="s">
        <v>443</v>
      </c>
      <c r="C25" s="56">
        <v>2606.4</v>
      </c>
      <c r="D25" s="56">
        <v>2500</v>
      </c>
      <c r="E25" s="56">
        <v>-106.40000000000009</v>
      </c>
      <c r="F25" s="56">
        <v>3475.2000000000003</v>
      </c>
      <c r="G25" s="59">
        <f>C25/9*12</f>
        <v>3475.2000000000003</v>
      </c>
    </row>
    <row r="26" spans="1:8">
      <c r="A26" s="30" t="s">
        <v>444</v>
      </c>
      <c r="B26" s="30" t="s">
        <v>445</v>
      </c>
      <c r="C26" s="56">
        <v>0</v>
      </c>
      <c r="D26" s="56">
        <v>5000</v>
      </c>
      <c r="E26" s="56">
        <v>5000</v>
      </c>
      <c r="F26" s="56">
        <v>5000</v>
      </c>
      <c r="G26" s="59">
        <v>5000</v>
      </c>
    </row>
    <row r="27" spans="1:8">
      <c r="A27" s="30" t="s">
        <v>446</v>
      </c>
      <c r="B27" s="30" t="s">
        <v>447</v>
      </c>
      <c r="C27" s="56">
        <v>149.85</v>
      </c>
      <c r="D27" s="56">
        <v>1000</v>
      </c>
      <c r="E27" s="56">
        <v>850.15</v>
      </c>
      <c r="F27" s="56">
        <v>1000</v>
      </c>
      <c r="G27" s="59">
        <v>1000</v>
      </c>
    </row>
    <row r="28" spans="1:8">
      <c r="A28" s="30" t="s">
        <v>448</v>
      </c>
      <c r="B28" s="30" t="s">
        <v>449</v>
      </c>
      <c r="C28" s="56">
        <v>2114.13</v>
      </c>
      <c r="D28" s="56">
        <v>4000</v>
      </c>
      <c r="E28" s="56">
        <v>1885.87</v>
      </c>
      <c r="F28" s="56">
        <v>3000</v>
      </c>
      <c r="G28" s="59">
        <v>3000</v>
      </c>
    </row>
    <row r="29" spans="1:8">
      <c r="A29" s="30" t="s">
        <v>450</v>
      </c>
      <c r="B29" s="30" t="s">
        <v>451</v>
      </c>
      <c r="C29" s="56">
        <v>2348.9499999999998</v>
      </c>
      <c r="D29" s="56">
        <v>6000</v>
      </c>
      <c r="E29" s="56">
        <v>3651.05</v>
      </c>
      <c r="F29" s="56">
        <v>4000</v>
      </c>
      <c r="G29" s="59">
        <v>4000</v>
      </c>
    </row>
    <row r="30" spans="1:8">
      <c r="A30" s="30" t="s">
        <v>452</v>
      </c>
      <c r="B30" s="30" t="s">
        <v>453</v>
      </c>
      <c r="C30" s="56">
        <v>3765.28</v>
      </c>
      <c r="D30" s="56">
        <v>5000</v>
      </c>
      <c r="E30" s="56">
        <v>1234.7199999999998</v>
      </c>
      <c r="F30" s="56">
        <v>4000</v>
      </c>
      <c r="G30" s="59">
        <v>4000</v>
      </c>
    </row>
    <row r="31" spans="1:8">
      <c r="A31" s="30" t="s">
        <v>454</v>
      </c>
      <c r="B31" s="30" t="s">
        <v>455</v>
      </c>
      <c r="C31" s="56">
        <v>49.35</v>
      </c>
      <c r="D31" s="56">
        <v>4500</v>
      </c>
      <c r="E31" s="56">
        <v>4450.6499999999996</v>
      </c>
      <c r="F31" s="56">
        <v>1000</v>
      </c>
      <c r="G31" s="59">
        <v>1000</v>
      </c>
    </row>
    <row r="32" spans="1:8">
      <c r="A32" s="30" t="s">
        <v>456</v>
      </c>
      <c r="B32" s="30" t="s">
        <v>457</v>
      </c>
      <c r="C32" s="56">
        <v>2305.1999999999998</v>
      </c>
      <c r="D32" s="56">
        <v>5000</v>
      </c>
      <c r="E32" s="56">
        <v>2694.8</v>
      </c>
      <c r="F32" s="56">
        <v>3000</v>
      </c>
      <c r="G32" s="59">
        <v>3000</v>
      </c>
    </row>
    <row r="33" spans="1:8">
      <c r="A33" s="30" t="s">
        <v>458</v>
      </c>
      <c r="B33" s="30" t="s">
        <v>459</v>
      </c>
      <c r="C33" s="56">
        <v>3222.53</v>
      </c>
      <c r="D33" s="56">
        <v>5000</v>
      </c>
      <c r="E33" s="56">
        <v>1777.4699999999998</v>
      </c>
      <c r="F33" s="56">
        <v>3000</v>
      </c>
      <c r="G33" s="59">
        <v>3000</v>
      </c>
    </row>
    <row r="34" spans="1:8">
      <c r="A34" s="30" t="s">
        <v>161</v>
      </c>
      <c r="B34" s="30" t="s">
        <v>460</v>
      </c>
      <c r="C34" s="56">
        <v>402.75</v>
      </c>
      <c r="D34" s="56">
        <v>3000</v>
      </c>
      <c r="E34" s="56">
        <v>2597.25</v>
      </c>
      <c r="F34" s="56">
        <v>1000</v>
      </c>
      <c r="G34" s="59">
        <v>1000</v>
      </c>
    </row>
    <row r="35" spans="1:8">
      <c r="A35" s="30" t="s">
        <v>1698</v>
      </c>
      <c r="B35" s="30"/>
      <c r="C35" s="56"/>
      <c r="D35" s="56"/>
      <c r="E35" s="56"/>
      <c r="F35" s="65">
        <v>10000</v>
      </c>
      <c r="G35" s="59">
        <v>0</v>
      </c>
      <c r="H35" s="246" t="s">
        <v>1699</v>
      </c>
    </row>
    <row r="36" spans="1:8">
      <c r="A36" s="30" t="s">
        <v>205</v>
      </c>
      <c r="B36" s="30" t="s">
        <v>461</v>
      </c>
      <c r="C36" s="56">
        <v>0</v>
      </c>
      <c r="D36" s="56">
        <v>8375</v>
      </c>
      <c r="E36" s="56">
        <v>8375</v>
      </c>
      <c r="F36" s="56">
        <v>8375</v>
      </c>
      <c r="G36" s="59">
        <v>8375</v>
      </c>
    </row>
    <row r="37" spans="1:8">
      <c r="A37" s="30" t="s">
        <v>462</v>
      </c>
      <c r="B37" s="30" t="s">
        <v>463</v>
      </c>
      <c r="C37" s="56">
        <v>22235.42</v>
      </c>
      <c r="D37" s="56">
        <v>35000</v>
      </c>
      <c r="E37" s="56">
        <v>12764.580000000002</v>
      </c>
      <c r="F37" s="56">
        <v>60000</v>
      </c>
      <c r="G37" s="59">
        <v>45000</v>
      </c>
    </row>
    <row r="38" spans="1:8">
      <c r="A38" s="30" t="s">
        <v>464</v>
      </c>
      <c r="B38" s="30" t="s">
        <v>465</v>
      </c>
      <c r="C38" s="56">
        <v>0</v>
      </c>
      <c r="D38" s="56">
        <v>47451.4</v>
      </c>
      <c r="E38" s="56">
        <v>47451.4</v>
      </c>
      <c r="F38" s="56">
        <v>40000</v>
      </c>
      <c r="G38" s="59">
        <v>40000</v>
      </c>
      <c r="H38" t="s">
        <v>1692</v>
      </c>
    </row>
    <row r="39" spans="1:8">
      <c r="A39" s="30" t="s">
        <v>466</v>
      </c>
      <c r="B39" s="30" t="s">
        <v>467</v>
      </c>
      <c r="C39" s="56">
        <v>0</v>
      </c>
      <c r="D39" s="56">
        <v>4000</v>
      </c>
      <c r="E39" s="56">
        <v>4000</v>
      </c>
      <c r="F39" s="56">
        <v>4000</v>
      </c>
      <c r="G39" s="59">
        <v>4000</v>
      </c>
    </row>
    <row r="40" spans="1:8">
      <c r="A40" s="30" t="s">
        <v>468</v>
      </c>
      <c r="B40" s="30" t="s">
        <v>469</v>
      </c>
      <c r="C40" s="56">
        <v>51793.120000000003</v>
      </c>
      <c r="D40" s="56">
        <v>15000</v>
      </c>
      <c r="E40" s="56">
        <v>-36793.120000000003</v>
      </c>
      <c r="F40" s="56">
        <v>15000</v>
      </c>
      <c r="G40" s="59">
        <v>25000</v>
      </c>
    </row>
    <row r="41" spans="1:8">
      <c r="A41" s="30" t="s">
        <v>470</v>
      </c>
      <c r="B41" s="30" t="s">
        <v>471</v>
      </c>
      <c r="C41" s="56">
        <v>305.55</v>
      </c>
      <c r="D41" s="56">
        <v>0</v>
      </c>
      <c r="E41" s="56">
        <v>-305.55</v>
      </c>
      <c r="F41" s="56">
        <v>0</v>
      </c>
      <c r="G41" s="59">
        <v>0</v>
      </c>
    </row>
    <row r="42" spans="1:8">
      <c r="A42" s="30" t="s">
        <v>472</v>
      </c>
      <c r="B42" s="30" t="s">
        <v>473</v>
      </c>
      <c r="C42" s="56">
        <v>94645.77</v>
      </c>
      <c r="D42" s="56">
        <v>90000</v>
      </c>
      <c r="E42" s="56">
        <v>-4645.7700000000041</v>
      </c>
      <c r="F42" s="56">
        <v>90000</v>
      </c>
      <c r="G42" s="59">
        <f>F42</f>
        <v>90000</v>
      </c>
    </row>
    <row r="43" spans="1:8">
      <c r="C43" s="56"/>
      <c r="D43" s="56"/>
      <c r="E43" s="56"/>
      <c r="F43" s="56"/>
    </row>
    <row r="44" spans="1:8">
      <c r="A44" s="49" t="s">
        <v>249</v>
      </c>
      <c r="B44" s="52"/>
      <c r="C44" s="57">
        <v>282909.87</v>
      </c>
      <c r="D44" s="57">
        <v>358641</v>
      </c>
      <c r="E44" s="57">
        <v>75731.13</v>
      </c>
      <c r="F44" s="57">
        <v>356369.16000000003</v>
      </c>
      <c r="G44" s="75">
        <f>SUM(G21:G42)</f>
        <v>336711.81</v>
      </c>
    </row>
    <row r="45" spans="1:8">
      <c r="C45" s="56"/>
      <c r="D45" s="56"/>
      <c r="E45" s="56"/>
      <c r="F45" s="56"/>
    </row>
    <row r="46" spans="1:8" ht="13.5" thickBot="1">
      <c r="A46" s="43" t="s">
        <v>250</v>
      </c>
      <c r="B46" s="53"/>
      <c r="C46" s="54">
        <v>-280804.87</v>
      </c>
      <c r="D46" s="54">
        <v>0</v>
      </c>
      <c r="E46" s="54">
        <v>280804.87</v>
      </c>
      <c r="F46" s="54">
        <v>14271.839999999967</v>
      </c>
      <c r="G46" s="73">
        <f>G18-G44</f>
        <v>18929.190000000002</v>
      </c>
    </row>
    <row r="47" spans="1:8" ht="13.5" thickTop="1"/>
  </sheetData>
  <mergeCells count="2">
    <mergeCell ref="A4:F4"/>
    <mergeCell ref="A7:F7"/>
  </mergeCells>
  <pageMargins left="0.7" right="0.7" top="0.75" bottom="0.75" header="0.3" footer="0.3"/>
  <pageSetup scale="95" orientation="landscape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9"/>
  <sheetViews>
    <sheetView zoomScale="150" zoomScaleNormal="150" workbookViewId="0">
      <selection activeCell="A4" sqref="A3:F4"/>
    </sheetView>
  </sheetViews>
  <sheetFormatPr defaultRowHeight="12.75"/>
  <cols>
    <col min="1" max="1" width="46.42578125" bestFit="1" customWidth="1"/>
    <col min="2" max="2" width="8.7109375" customWidth="1"/>
    <col min="3" max="5" width="14.28515625" hidden="1" customWidth="1"/>
    <col min="6" max="6" width="14.28515625" customWidth="1"/>
    <col min="7" max="7" width="11.7109375" style="59" customWidth="1"/>
    <col min="8" max="8" width="22.42578125" customWidth="1"/>
    <col min="256" max="256" width="46.42578125" bestFit="1" customWidth="1"/>
    <col min="257" max="257" width="8.7109375" customWidth="1"/>
    <col min="258" max="262" width="14.28515625" customWidth="1"/>
    <col min="512" max="512" width="46.42578125" bestFit="1" customWidth="1"/>
    <col min="513" max="513" width="8.7109375" customWidth="1"/>
    <col min="514" max="518" width="14.28515625" customWidth="1"/>
    <col min="768" max="768" width="46.42578125" bestFit="1" customWidth="1"/>
    <col min="769" max="769" width="8.7109375" customWidth="1"/>
    <col min="770" max="774" width="14.28515625" customWidth="1"/>
    <col min="1024" max="1024" width="46.42578125" bestFit="1" customWidth="1"/>
    <col min="1025" max="1025" width="8.7109375" customWidth="1"/>
    <col min="1026" max="1030" width="14.28515625" customWidth="1"/>
    <col min="1280" max="1280" width="46.42578125" bestFit="1" customWidth="1"/>
    <col min="1281" max="1281" width="8.7109375" customWidth="1"/>
    <col min="1282" max="1286" width="14.28515625" customWidth="1"/>
    <col min="1536" max="1536" width="46.42578125" bestFit="1" customWidth="1"/>
    <col min="1537" max="1537" width="8.7109375" customWidth="1"/>
    <col min="1538" max="1542" width="14.28515625" customWidth="1"/>
    <col min="1792" max="1792" width="46.42578125" bestFit="1" customWidth="1"/>
    <col min="1793" max="1793" width="8.7109375" customWidth="1"/>
    <col min="1794" max="1798" width="14.28515625" customWidth="1"/>
    <col min="2048" max="2048" width="46.42578125" bestFit="1" customWidth="1"/>
    <col min="2049" max="2049" width="8.7109375" customWidth="1"/>
    <col min="2050" max="2054" width="14.28515625" customWidth="1"/>
    <col min="2304" max="2304" width="46.42578125" bestFit="1" customWidth="1"/>
    <col min="2305" max="2305" width="8.7109375" customWidth="1"/>
    <col min="2306" max="2310" width="14.28515625" customWidth="1"/>
    <col min="2560" max="2560" width="46.42578125" bestFit="1" customWidth="1"/>
    <col min="2561" max="2561" width="8.7109375" customWidth="1"/>
    <col min="2562" max="2566" width="14.28515625" customWidth="1"/>
    <col min="2816" max="2816" width="46.42578125" bestFit="1" customWidth="1"/>
    <col min="2817" max="2817" width="8.7109375" customWidth="1"/>
    <col min="2818" max="2822" width="14.28515625" customWidth="1"/>
    <col min="3072" max="3072" width="46.42578125" bestFit="1" customWidth="1"/>
    <col min="3073" max="3073" width="8.7109375" customWidth="1"/>
    <col min="3074" max="3078" width="14.28515625" customWidth="1"/>
    <col min="3328" max="3328" width="46.42578125" bestFit="1" customWidth="1"/>
    <col min="3329" max="3329" width="8.7109375" customWidth="1"/>
    <col min="3330" max="3334" width="14.28515625" customWidth="1"/>
    <col min="3584" max="3584" width="46.42578125" bestFit="1" customWidth="1"/>
    <col min="3585" max="3585" width="8.7109375" customWidth="1"/>
    <col min="3586" max="3590" width="14.28515625" customWidth="1"/>
    <col min="3840" max="3840" width="46.42578125" bestFit="1" customWidth="1"/>
    <col min="3841" max="3841" width="8.7109375" customWidth="1"/>
    <col min="3842" max="3846" width="14.28515625" customWidth="1"/>
    <col min="4096" max="4096" width="46.42578125" bestFit="1" customWidth="1"/>
    <col min="4097" max="4097" width="8.7109375" customWidth="1"/>
    <col min="4098" max="4102" width="14.28515625" customWidth="1"/>
    <col min="4352" max="4352" width="46.42578125" bestFit="1" customWidth="1"/>
    <col min="4353" max="4353" width="8.7109375" customWidth="1"/>
    <col min="4354" max="4358" width="14.28515625" customWidth="1"/>
    <col min="4608" max="4608" width="46.42578125" bestFit="1" customWidth="1"/>
    <col min="4609" max="4609" width="8.7109375" customWidth="1"/>
    <col min="4610" max="4614" width="14.28515625" customWidth="1"/>
    <col min="4864" max="4864" width="46.42578125" bestFit="1" customWidth="1"/>
    <col min="4865" max="4865" width="8.7109375" customWidth="1"/>
    <col min="4866" max="4870" width="14.28515625" customWidth="1"/>
    <col min="5120" max="5120" width="46.42578125" bestFit="1" customWidth="1"/>
    <col min="5121" max="5121" width="8.7109375" customWidth="1"/>
    <col min="5122" max="5126" width="14.28515625" customWidth="1"/>
    <col min="5376" max="5376" width="46.42578125" bestFit="1" customWidth="1"/>
    <col min="5377" max="5377" width="8.7109375" customWidth="1"/>
    <col min="5378" max="5382" width="14.28515625" customWidth="1"/>
    <col min="5632" max="5632" width="46.42578125" bestFit="1" customWidth="1"/>
    <col min="5633" max="5633" width="8.7109375" customWidth="1"/>
    <col min="5634" max="5638" width="14.28515625" customWidth="1"/>
    <col min="5888" max="5888" width="46.42578125" bestFit="1" customWidth="1"/>
    <col min="5889" max="5889" width="8.7109375" customWidth="1"/>
    <col min="5890" max="5894" width="14.28515625" customWidth="1"/>
    <col min="6144" max="6144" width="46.42578125" bestFit="1" customWidth="1"/>
    <col min="6145" max="6145" width="8.7109375" customWidth="1"/>
    <col min="6146" max="6150" width="14.28515625" customWidth="1"/>
    <col min="6400" max="6400" width="46.42578125" bestFit="1" customWidth="1"/>
    <col min="6401" max="6401" width="8.7109375" customWidth="1"/>
    <col min="6402" max="6406" width="14.28515625" customWidth="1"/>
    <col min="6656" max="6656" width="46.42578125" bestFit="1" customWidth="1"/>
    <col min="6657" max="6657" width="8.7109375" customWidth="1"/>
    <col min="6658" max="6662" width="14.28515625" customWidth="1"/>
    <col min="6912" max="6912" width="46.42578125" bestFit="1" customWidth="1"/>
    <col min="6913" max="6913" width="8.7109375" customWidth="1"/>
    <col min="6914" max="6918" width="14.28515625" customWidth="1"/>
    <col min="7168" max="7168" width="46.42578125" bestFit="1" customWidth="1"/>
    <col min="7169" max="7169" width="8.7109375" customWidth="1"/>
    <col min="7170" max="7174" width="14.28515625" customWidth="1"/>
    <col min="7424" max="7424" width="46.42578125" bestFit="1" customWidth="1"/>
    <col min="7425" max="7425" width="8.7109375" customWidth="1"/>
    <col min="7426" max="7430" width="14.28515625" customWidth="1"/>
    <col min="7680" max="7680" width="46.42578125" bestFit="1" customWidth="1"/>
    <col min="7681" max="7681" width="8.7109375" customWidth="1"/>
    <col min="7682" max="7686" width="14.28515625" customWidth="1"/>
    <col min="7936" max="7936" width="46.42578125" bestFit="1" customWidth="1"/>
    <col min="7937" max="7937" width="8.7109375" customWidth="1"/>
    <col min="7938" max="7942" width="14.28515625" customWidth="1"/>
    <col min="8192" max="8192" width="46.42578125" bestFit="1" customWidth="1"/>
    <col min="8193" max="8193" width="8.7109375" customWidth="1"/>
    <col min="8194" max="8198" width="14.28515625" customWidth="1"/>
    <col min="8448" max="8448" width="46.42578125" bestFit="1" customWidth="1"/>
    <col min="8449" max="8449" width="8.7109375" customWidth="1"/>
    <col min="8450" max="8454" width="14.28515625" customWidth="1"/>
    <col min="8704" max="8704" width="46.42578125" bestFit="1" customWidth="1"/>
    <col min="8705" max="8705" width="8.7109375" customWidth="1"/>
    <col min="8706" max="8710" width="14.28515625" customWidth="1"/>
    <col min="8960" max="8960" width="46.42578125" bestFit="1" customWidth="1"/>
    <col min="8961" max="8961" width="8.7109375" customWidth="1"/>
    <col min="8962" max="8966" width="14.28515625" customWidth="1"/>
    <col min="9216" max="9216" width="46.42578125" bestFit="1" customWidth="1"/>
    <col min="9217" max="9217" width="8.7109375" customWidth="1"/>
    <col min="9218" max="9222" width="14.28515625" customWidth="1"/>
    <col min="9472" max="9472" width="46.42578125" bestFit="1" customWidth="1"/>
    <col min="9473" max="9473" width="8.7109375" customWidth="1"/>
    <col min="9474" max="9478" width="14.28515625" customWidth="1"/>
    <col min="9728" max="9728" width="46.42578125" bestFit="1" customWidth="1"/>
    <col min="9729" max="9729" width="8.7109375" customWidth="1"/>
    <col min="9730" max="9734" width="14.28515625" customWidth="1"/>
    <col min="9984" max="9984" width="46.42578125" bestFit="1" customWidth="1"/>
    <col min="9985" max="9985" width="8.7109375" customWidth="1"/>
    <col min="9986" max="9990" width="14.28515625" customWidth="1"/>
    <col min="10240" max="10240" width="46.42578125" bestFit="1" customWidth="1"/>
    <col min="10241" max="10241" width="8.7109375" customWidth="1"/>
    <col min="10242" max="10246" width="14.28515625" customWidth="1"/>
    <col min="10496" max="10496" width="46.42578125" bestFit="1" customWidth="1"/>
    <col min="10497" max="10497" width="8.7109375" customWidth="1"/>
    <col min="10498" max="10502" width="14.28515625" customWidth="1"/>
    <col min="10752" max="10752" width="46.42578125" bestFit="1" customWidth="1"/>
    <col min="10753" max="10753" width="8.7109375" customWidth="1"/>
    <col min="10754" max="10758" width="14.28515625" customWidth="1"/>
    <col min="11008" max="11008" width="46.42578125" bestFit="1" customWidth="1"/>
    <col min="11009" max="11009" width="8.7109375" customWidth="1"/>
    <col min="11010" max="11014" width="14.28515625" customWidth="1"/>
    <col min="11264" max="11264" width="46.42578125" bestFit="1" customWidth="1"/>
    <col min="11265" max="11265" width="8.7109375" customWidth="1"/>
    <col min="11266" max="11270" width="14.28515625" customWidth="1"/>
    <col min="11520" max="11520" width="46.42578125" bestFit="1" customWidth="1"/>
    <col min="11521" max="11521" width="8.7109375" customWidth="1"/>
    <col min="11522" max="11526" width="14.28515625" customWidth="1"/>
    <col min="11776" max="11776" width="46.42578125" bestFit="1" customWidth="1"/>
    <col min="11777" max="11777" width="8.7109375" customWidth="1"/>
    <col min="11778" max="11782" width="14.28515625" customWidth="1"/>
    <col min="12032" max="12032" width="46.42578125" bestFit="1" customWidth="1"/>
    <col min="12033" max="12033" width="8.7109375" customWidth="1"/>
    <col min="12034" max="12038" width="14.28515625" customWidth="1"/>
    <col min="12288" max="12288" width="46.42578125" bestFit="1" customWidth="1"/>
    <col min="12289" max="12289" width="8.7109375" customWidth="1"/>
    <col min="12290" max="12294" width="14.28515625" customWidth="1"/>
    <col min="12544" max="12544" width="46.42578125" bestFit="1" customWidth="1"/>
    <col min="12545" max="12545" width="8.7109375" customWidth="1"/>
    <col min="12546" max="12550" width="14.28515625" customWidth="1"/>
    <col min="12800" max="12800" width="46.42578125" bestFit="1" customWidth="1"/>
    <col min="12801" max="12801" width="8.7109375" customWidth="1"/>
    <col min="12802" max="12806" width="14.28515625" customWidth="1"/>
    <col min="13056" max="13056" width="46.42578125" bestFit="1" customWidth="1"/>
    <col min="13057" max="13057" width="8.7109375" customWidth="1"/>
    <col min="13058" max="13062" width="14.28515625" customWidth="1"/>
    <col min="13312" max="13312" width="46.42578125" bestFit="1" customWidth="1"/>
    <col min="13313" max="13313" width="8.7109375" customWidth="1"/>
    <col min="13314" max="13318" width="14.28515625" customWidth="1"/>
    <col min="13568" max="13568" width="46.42578125" bestFit="1" customWidth="1"/>
    <col min="13569" max="13569" width="8.7109375" customWidth="1"/>
    <col min="13570" max="13574" width="14.28515625" customWidth="1"/>
    <col min="13824" max="13824" width="46.42578125" bestFit="1" customWidth="1"/>
    <col min="13825" max="13825" width="8.7109375" customWidth="1"/>
    <col min="13826" max="13830" width="14.28515625" customWidth="1"/>
    <col min="14080" max="14080" width="46.42578125" bestFit="1" customWidth="1"/>
    <col min="14081" max="14081" width="8.7109375" customWidth="1"/>
    <col min="14082" max="14086" width="14.28515625" customWidth="1"/>
    <col min="14336" max="14336" width="46.42578125" bestFit="1" customWidth="1"/>
    <col min="14337" max="14337" width="8.7109375" customWidth="1"/>
    <col min="14338" max="14342" width="14.28515625" customWidth="1"/>
    <col min="14592" max="14592" width="46.42578125" bestFit="1" customWidth="1"/>
    <col min="14593" max="14593" width="8.7109375" customWidth="1"/>
    <col min="14594" max="14598" width="14.28515625" customWidth="1"/>
    <col min="14848" max="14848" width="46.42578125" bestFit="1" customWidth="1"/>
    <col min="14849" max="14849" width="8.7109375" customWidth="1"/>
    <col min="14850" max="14854" width="14.28515625" customWidth="1"/>
    <col min="15104" max="15104" width="46.42578125" bestFit="1" customWidth="1"/>
    <col min="15105" max="15105" width="8.7109375" customWidth="1"/>
    <col min="15106" max="15110" width="14.28515625" customWidth="1"/>
    <col min="15360" max="15360" width="46.42578125" bestFit="1" customWidth="1"/>
    <col min="15361" max="15361" width="8.7109375" customWidth="1"/>
    <col min="15362" max="15366" width="14.28515625" customWidth="1"/>
    <col min="15616" max="15616" width="46.42578125" bestFit="1" customWidth="1"/>
    <col min="15617" max="15617" width="8.7109375" customWidth="1"/>
    <col min="15618" max="15622" width="14.28515625" customWidth="1"/>
    <col min="15872" max="15872" width="46.42578125" bestFit="1" customWidth="1"/>
    <col min="15873" max="15873" width="8.7109375" customWidth="1"/>
    <col min="15874" max="15878" width="14.28515625" customWidth="1"/>
    <col min="16128" max="16128" width="46.42578125" bestFit="1" customWidth="1"/>
    <col min="16129" max="16129" width="8.7109375" customWidth="1"/>
    <col min="16130" max="16134" width="14.28515625" customWidth="1"/>
  </cols>
  <sheetData>
    <row r="3" spans="1:8" ht="15">
      <c r="A3" s="35" t="s">
        <v>1825</v>
      </c>
      <c r="B3" s="34"/>
      <c r="C3" s="34"/>
      <c r="D3" s="34"/>
      <c r="E3" s="34"/>
      <c r="F3" s="34"/>
    </row>
    <row r="4" spans="1:8" ht="15">
      <c r="A4" s="341" t="s">
        <v>474</v>
      </c>
      <c r="B4" s="341"/>
      <c r="C4" s="341"/>
      <c r="D4" s="341"/>
      <c r="E4" s="341"/>
      <c r="F4" s="341"/>
    </row>
    <row r="5" spans="1:8" ht="15" hidden="1">
      <c r="A5" s="36" t="s">
        <v>54</v>
      </c>
      <c r="B5" s="34"/>
      <c r="C5" s="34"/>
      <c r="D5" s="34"/>
      <c r="E5" s="34"/>
      <c r="F5" s="34"/>
    </row>
    <row r="6" spans="1:8" hidden="1">
      <c r="A6" s="37" t="s">
        <v>54</v>
      </c>
      <c r="B6" s="34"/>
      <c r="C6" s="34"/>
      <c r="D6" s="34"/>
      <c r="E6" s="34"/>
      <c r="F6" s="34"/>
    </row>
    <row r="7" spans="1:8" hidden="1">
      <c r="A7" s="342">
        <v>42460</v>
      </c>
      <c r="B7" s="342"/>
      <c r="C7" s="342"/>
      <c r="D7" s="342"/>
      <c r="E7" s="342"/>
      <c r="F7" s="342"/>
    </row>
    <row r="8" spans="1:8">
      <c r="A8" s="38"/>
      <c r="B8" s="38"/>
      <c r="C8" s="38"/>
      <c r="D8" s="38"/>
      <c r="E8" s="38"/>
      <c r="F8" s="38"/>
    </row>
    <row r="9" spans="1:8" ht="13.5" thickBot="1">
      <c r="C9" s="17" t="s">
        <v>251</v>
      </c>
      <c r="D9" s="17" t="s">
        <v>251</v>
      </c>
      <c r="E9" s="17" t="s">
        <v>251</v>
      </c>
      <c r="F9" s="17" t="s">
        <v>44</v>
      </c>
      <c r="G9" s="248" t="s">
        <v>1701</v>
      </c>
    </row>
    <row r="10" spans="1:8" ht="13.5" thickTop="1">
      <c r="A10" s="39"/>
      <c r="B10" s="40"/>
      <c r="C10" s="41" t="s">
        <v>55</v>
      </c>
      <c r="D10" s="41" t="s">
        <v>55</v>
      </c>
      <c r="E10" s="41" t="s">
        <v>55</v>
      </c>
      <c r="F10" s="41"/>
      <c r="G10" s="61"/>
    </row>
    <row r="11" spans="1:8" ht="13.5" thickBot="1">
      <c r="A11" s="42"/>
      <c r="B11" s="43"/>
      <c r="C11" s="44" t="s">
        <v>58</v>
      </c>
      <c r="D11" s="44" t="s">
        <v>57</v>
      </c>
      <c r="E11" s="44" t="s">
        <v>59</v>
      </c>
      <c r="F11" s="44" t="s">
        <v>57</v>
      </c>
      <c r="G11" s="62" t="s">
        <v>57</v>
      </c>
      <c r="H11" s="55" t="s">
        <v>252</v>
      </c>
    </row>
    <row r="12" spans="1:8" ht="13.5" thickTop="1">
      <c r="A12" s="45" t="s">
        <v>60</v>
      </c>
      <c r="B12" s="46"/>
      <c r="C12" s="47"/>
      <c r="D12" s="47"/>
      <c r="E12" s="47"/>
      <c r="F12" s="47"/>
    </row>
    <row r="13" spans="1:8">
      <c r="A13" s="30" t="s">
        <v>475</v>
      </c>
      <c r="B13" s="30" t="s">
        <v>476</v>
      </c>
      <c r="C13" s="56">
        <v>0</v>
      </c>
      <c r="D13" s="56">
        <v>695000</v>
      </c>
      <c r="E13" s="56">
        <v>695000</v>
      </c>
      <c r="F13" s="56">
        <v>695000</v>
      </c>
      <c r="G13" s="59">
        <f>'Fund Distributions'!K40</f>
        <v>695000</v>
      </c>
      <c r="H13" t="s">
        <v>1070</v>
      </c>
    </row>
    <row r="14" spans="1:8">
      <c r="A14" s="30" t="s">
        <v>477</v>
      </c>
      <c r="B14" s="30" t="s">
        <v>478</v>
      </c>
      <c r="C14" s="56">
        <v>5183.17</v>
      </c>
      <c r="D14" s="56">
        <v>13600</v>
      </c>
      <c r="E14" s="56">
        <v>8416.83</v>
      </c>
      <c r="F14" s="56">
        <v>6910.8933333333334</v>
      </c>
      <c r="G14" s="59">
        <v>10000</v>
      </c>
    </row>
    <row r="15" spans="1:8">
      <c r="A15" s="30" t="s">
        <v>479</v>
      </c>
      <c r="B15" s="30" t="s">
        <v>480</v>
      </c>
      <c r="C15" s="56">
        <v>420</v>
      </c>
      <c r="D15" s="56">
        <v>0</v>
      </c>
      <c r="E15" s="56">
        <v>-420</v>
      </c>
      <c r="F15" s="56">
        <v>500</v>
      </c>
      <c r="G15" s="59">
        <v>1500</v>
      </c>
    </row>
    <row r="16" spans="1:8">
      <c r="A16" s="30"/>
      <c r="B16" s="30"/>
      <c r="C16" s="56"/>
      <c r="D16" s="56"/>
      <c r="E16" s="56"/>
      <c r="F16" s="56"/>
    </row>
    <row r="17" spans="1:8">
      <c r="A17" s="49" t="s">
        <v>115</v>
      </c>
      <c r="B17" s="50"/>
      <c r="C17" s="57">
        <v>5603.17</v>
      </c>
      <c r="D17" s="57">
        <v>708600</v>
      </c>
      <c r="E17" s="57">
        <v>702996.83</v>
      </c>
      <c r="F17" s="57">
        <v>702410.89333333331</v>
      </c>
      <c r="G17" s="75">
        <f>SUM(G13:G15)</f>
        <v>706500</v>
      </c>
    </row>
    <row r="18" spans="1:8">
      <c r="A18" s="46"/>
      <c r="C18" s="56"/>
      <c r="D18" s="56"/>
      <c r="E18" s="56"/>
      <c r="F18" s="56"/>
    </row>
    <row r="19" spans="1:8">
      <c r="A19" s="45" t="s">
        <v>116</v>
      </c>
      <c r="C19" s="56"/>
      <c r="D19" s="56"/>
      <c r="E19" s="56"/>
      <c r="F19" s="56"/>
    </row>
    <row r="20" spans="1:8">
      <c r="A20" s="30" t="s">
        <v>481</v>
      </c>
      <c r="B20" s="30" t="s">
        <v>482</v>
      </c>
      <c r="C20" s="56">
        <v>70334.960000000006</v>
      </c>
      <c r="D20" s="56">
        <v>78624</v>
      </c>
      <c r="E20" s="56">
        <v>8289.0399999999936</v>
      </c>
      <c r="F20" s="56">
        <v>77605</v>
      </c>
      <c r="G20" s="59">
        <f>48043.1+32301.36</f>
        <v>80344.459999999992</v>
      </c>
    </row>
    <row r="21" spans="1:8">
      <c r="A21" s="30" t="s">
        <v>483</v>
      </c>
      <c r="B21" s="30" t="s">
        <v>484</v>
      </c>
      <c r="C21" s="56">
        <v>0</v>
      </c>
      <c r="D21" s="56">
        <v>2000</v>
      </c>
      <c r="E21" s="56">
        <v>2000</v>
      </c>
      <c r="F21" s="56">
        <v>2000</v>
      </c>
      <c r="G21" s="59">
        <v>2000</v>
      </c>
    </row>
    <row r="22" spans="1:8">
      <c r="A22" s="30" t="s">
        <v>485</v>
      </c>
      <c r="B22" s="30" t="s">
        <v>486</v>
      </c>
      <c r="C22" s="56">
        <v>150</v>
      </c>
      <c r="D22" s="56">
        <v>0</v>
      </c>
      <c r="E22" s="56">
        <v>-150</v>
      </c>
      <c r="F22" s="56">
        <v>2700</v>
      </c>
      <c r="G22" s="59">
        <v>0</v>
      </c>
    </row>
    <row r="23" spans="1:8">
      <c r="A23" s="30" t="s">
        <v>487</v>
      </c>
      <c r="B23" s="30" t="s">
        <v>488</v>
      </c>
      <c r="C23" s="56">
        <f>22173-3933</f>
        <v>18240</v>
      </c>
      <c r="D23" s="56">
        <v>22173</v>
      </c>
      <c r="E23" s="56">
        <v>3933</v>
      </c>
      <c r="F23" s="56">
        <v>23712</v>
      </c>
      <c r="G23" s="59">
        <v>24549.03</v>
      </c>
    </row>
    <row r="24" spans="1:8">
      <c r="A24" s="30" t="s">
        <v>489</v>
      </c>
      <c r="B24" s="30" t="s">
        <v>490</v>
      </c>
      <c r="C24" s="56">
        <v>95776.47</v>
      </c>
      <c r="D24" s="56">
        <v>124880</v>
      </c>
      <c r="E24" s="56">
        <v>29103.53</v>
      </c>
      <c r="F24" s="56">
        <v>102460</v>
      </c>
      <c r="G24" s="59">
        <f>37167.27+32301.36+36608.21</f>
        <v>106076.84</v>
      </c>
    </row>
    <row r="25" spans="1:8">
      <c r="A25" s="30" t="s">
        <v>1805</v>
      </c>
      <c r="B25" s="30"/>
      <c r="C25" s="56"/>
      <c r="D25" s="56"/>
      <c r="E25" s="56"/>
      <c r="F25" s="56"/>
      <c r="G25" s="59">
        <v>30000</v>
      </c>
      <c r="H25" t="s">
        <v>1806</v>
      </c>
    </row>
    <row r="26" spans="1:8">
      <c r="A26" s="30" t="s">
        <v>339</v>
      </c>
      <c r="B26" s="30" t="s">
        <v>491</v>
      </c>
      <c r="C26" s="56">
        <v>4406.3999999999996</v>
      </c>
      <c r="D26" s="56">
        <v>5500</v>
      </c>
      <c r="E26" s="56">
        <v>1093.6000000000004</v>
      </c>
      <c r="F26" s="56">
        <v>5500</v>
      </c>
      <c r="G26" s="59">
        <f>F26</f>
        <v>5500</v>
      </c>
    </row>
    <row r="27" spans="1:8">
      <c r="A27" s="30" t="s">
        <v>492</v>
      </c>
      <c r="B27" s="30" t="s">
        <v>493</v>
      </c>
      <c r="C27" s="56">
        <v>5340.26</v>
      </c>
      <c r="D27" s="56">
        <v>10000</v>
      </c>
      <c r="E27" s="56">
        <v>4659.74</v>
      </c>
      <c r="F27" s="56">
        <v>7120.3466666666673</v>
      </c>
      <c r="G27" s="59">
        <f>C27/9*12</f>
        <v>7120.3466666666673</v>
      </c>
    </row>
    <row r="28" spans="1:8">
      <c r="A28" s="30" t="s">
        <v>494</v>
      </c>
      <c r="B28" s="30" t="s">
        <v>495</v>
      </c>
      <c r="C28" s="56">
        <v>0</v>
      </c>
      <c r="D28" s="56">
        <v>11000</v>
      </c>
      <c r="E28" s="56">
        <v>11000</v>
      </c>
      <c r="F28" s="56">
        <v>11000</v>
      </c>
      <c r="G28" s="59">
        <f>F28</f>
        <v>11000</v>
      </c>
    </row>
    <row r="29" spans="1:8">
      <c r="A29" s="30" t="s">
        <v>496</v>
      </c>
      <c r="B29" s="30" t="s">
        <v>497</v>
      </c>
      <c r="C29" s="56">
        <v>2576.86</v>
      </c>
      <c r="D29" s="56">
        <v>3000</v>
      </c>
      <c r="E29" s="56">
        <v>423.13999999999987</v>
      </c>
      <c r="F29" s="56">
        <v>3000</v>
      </c>
      <c r="G29" s="59">
        <f>F29</f>
        <v>3000</v>
      </c>
    </row>
    <row r="30" spans="1:8">
      <c r="A30" s="30" t="s">
        <v>498</v>
      </c>
      <c r="B30" s="28" t="s">
        <v>499</v>
      </c>
      <c r="C30" s="56">
        <v>963.2</v>
      </c>
      <c r="D30" s="56">
        <v>3000</v>
      </c>
      <c r="E30" s="56">
        <v>2036.8</v>
      </c>
      <c r="F30" s="56">
        <v>1500</v>
      </c>
      <c r="G30" s="59">
        <v>1500</v>
      </c>
    </row>
    <row r="31" spans="1:8">
      <c r="A31" s="30" t="s">
        <v>205</v>
      </c>
      <c r="B31" s="30" t="s">
        <v>500</v>
      </c>
      <c r="C31" s="56">
        <v>0</v>
      </c>
      <c r="D31" s="56">
        <v>3000</v>
      </c>
      <c r="E31" s="56">
        <v>3000</v>
      </c>
      <c r="F31" s="56">
        <v>3000</v>
      </c>
      <c r="G31" s="59">
        <f>F31</f>
        <v>3000</v>
      </c>
    </row>
    <row r="32" spans="1:8">
      <c r="A32" s="30" t="s">
        <v>501</v>
      </c>
      <c r="B32" s="30" t="s">
        <v>502</v>
      </c>
      <c r="C32" s="56">
        <v>0</v>
      </c>
      <c r="D32" s="56">
        <v>21000</v>
      </c>
      <c r="E32" s="56">
        <v>21000</v>
      </c>
      <c r="F32" s="56">
        <v>21000</v>
      </c>
      <c r="G32" s="59">
        <f>F32</f>
        <v>21000</v>
      </c>
    </row>
    <row r="33" spans="1:7">
      <c r="A33" s="30" t="s">
        <v>503</v>
      </c>
      <c r="B33" s="30" t="s">
        <v>504</v>
      </c>
      <c r="C33" s="56">
        <v>13419.5</v>
      </c>
      <c r="D33" s="56">
        <v>0</v>
      </c>
      <c r="E33" s="56">
        <v>-13419.5</v>
      </c>
      <c r="F33" s="56">
        <v>10000</v>
      </c>
      <c r="G33" s="59">
        <v>5000</v>
      </c>
    </row>
    <row r="34" spans="1:7">
      <c r="A34" s="30" t="s">
        <v>505</v>
      </c>
      <c r="B34" s="30" t="s">
        <v>506</v>
      </c>
      <c r="C34" s="56">
        <v>11602.79</v>
      </c>
      <c r="D34" s="56">
        <v>26300</v>
      </c>
      <c r="E34" s="56">
        <v>14697.21</v>
      </c>
      <c r="F34" s="56">
        <v>20000</v>
      </c>
      <c r="G34" s="59">
        <v>30000</v>
      </c>
    </row>
    <row r="35" spans="1:7">
      <c r="A35" s="30" t="s">
        <v>507</v>
      </c>
      <c r="B35" s="30" t="s">
        <v>508</v>
      </c>
      <c r="C35" s="56">
        <v>0</v>
      </c>
      <c r="D35" s="56">
        <v>12000</v>
      </c>
      <c r="E35" s="56">
        <v>12000</v>
      </c>
      <c r="F35" s="56">
        <v>12000</v>
      </c>
      <c r="G35" s="59">
        <f>F35</f>
        <v>12000</v>
      </c>
    </row>
    <row r="36" spans="1:7">
      <c r="A36" s="30" t="s">
        <v>509</v>
      </c>
      <c r="B36" s="30" t="s">
        <v>510</v>
      </c>
      <c r="C36" s="56">
        <v>77671.05</v>
      </c>
      <c r="D36" s="56">
        <v>60000</v>
      </c>
      <c r="E36" s="56">
        <v>-17671.050000000003</v>
      </c>
      <c r="F36" s="56">
        <v>80000</v>
      </c>
      <c r="G36" s="59">
        <f>80000</f>
        <v>80000</v>
      </c>
    </row>
    <row r="37" spans="1:7">
      <c r="A37" s="30" t="s">
        <v>511</v>
      </c>
      <c r="B37" s="30" t="s">
        <v>512</v>
      </c>
      <c r="C37" s="56">
        <v>0</v>
      </c>
      <c r="D37" s="56">
        <v>4500</v>
      </c>
      <c r="E37" s="56">
        <v>4500</v>
      </c>
      <c r="F37" s="56">
        <v>4500</v>
      </c>
      <c r="G37" s="59">
        <f>F37</f>
        <v>4500</v>
      </c>
    </row>
    <row r="38" spans="1:7">
      <c r="A38" s="30" t="s">
        <v>513</v>
      </c>
      <c r="B38" s="30" t="s">
        <v>514</v>
      </c>
      <c r="C38" s="56">
        <v>11856.78</v>
      </c>
      <c r="D38" s="56">
        <v>0</v>
      </c>
      <c r="E38" s="56">
        <v>-11856.78</v>
      </c>
      <c r="F38" s="56">
        <v>10000</v>
      </c>
      <c r="G38" s="59">
        <v>10000</v>
      </c>
    </row>
    <row r="39" spans="1:7">
      <c r="A39" s="30" t="s">
        <v>515</v>
      </c>
      <c r="B39" s="30" t="s">
        <v>516</v>
      </c>
      <c r="C39" s="56">
        <v>1157.3699999999999</v>
      </c>
      <c r="D39" s="56">
        <v>0</v>
      </c>
      <c r="E39" s="56">
        <v>-1157.3699999999999</v>
      </c>
      <c r="F39" s="56">
        <v>2000</v>
      </c>
      <c r="G39" s="59">
        <v>2000</v>
      </c>
    </row>
    <row r="40" spans="1:7">
      <c r="A40" s="30" t="s">
        <v>517</v>
      </c>
      <c r="B40" s="30" t="s">
        <v>518</v>
      </c>
      <c r="C40" s="56">
        <v>27148.6</v>
      </c>
      <c r="D40" s="56">
        <v>25000</v>
      </c>
      <c r="E40" s="56">
        <v>-2148.5999999999985</v>
      </c>
      <c r="F40" s="56">
        <v>25000</v>
      </c>
      <c r="G40" s="59">
        <v>25000</v>
      </c>
    </row>
    <row r="41" spans="1:7">
      <c r="A41" s="30" t="s">
        <v>519</v>
      </c>
      <c r="B41" s="30" t="s">
        <v>520</v>
      </c>
      <c r="C41" s="56">
        <v>2560</v>
      </c>
      <c r="D41" s="56">
        <v>10000</v>
      </c>
      <c r="E41" s="56">
        <v>7440</v>
      </c>
      <c r="F41" s="56">
        <v>5000</v>
      </c>
      <c r="G41" s="59">
        <v>5000</v>
      </c>
    </row>
    <row r="42" spans="1:7">
      <c r="A42" s="30" t="s">
        <v>521</v>
      </c>
      <c r="B42" s="30" t="s">
        <v>522</v>
      </c>
      <c r="C42" s="56">
        <v>0</v>
      </c>
      <c r="D42" s="56">
        <v>15000</v>
      </c>
      <c r="E42" s="56">
        <v>15000</v>
      </c>
      <c r="F42" s="56">
        <v>15000</v>
      </c>
      <c r="G42" s="59">
        <f>F42</f>
        <v>15000</v>
      </c>
    </row>
    <row r="43" spans="1:7">
      <c r="A43" s="30" t="s">
        <v>347</v>
      </c>
      <c r="B43" s="30" t="s">
        <v>523</v>
      </c>
      <c r="C43" s="56">
        <v>8800</v>
      </c>
      <c r="D43" s="56">
        <v>8400</v>
      </c>
      <c r="E43" s="56">
        <v>-400</v>
      </c>
      <c r="F43" s="56">
        <v>8500</v>
      </c>
      <c r="G43" s="59">
        <f>8500</f>
        <v>8500</v>
      </c>
    </row>
    <row r="44" spans="1:7">
      <c r="A44" s="30" t="s">
        <v>524</v>
      </c>
      <c r="B44" s="30" t="s">
        <v>525</v>
      </c>
      <c r="C44" s="56">
        <v>60588.6</v>
      </c>
      <c r="D44" s="56">
        <v>48672</v>
      </c>
      <c r="E44" s="56">
        <v>-11916.599999999999</v>
      </c>
      <c r="F44" s="56">
        <v>65000</v>
      </c>
      <c r="G44" s="59">
        <f>65000</f>
        <v>65000</v>
      </c>
    </row>
    <row r="45" spans="1:7">
      <c r="A45" s="30" t="s">
        <v>526</v>
      </c>
      <c r="B45" s="30" t="s">
        <v>527</v>
      </c>
      <c r="C45" s="56">
        <v>0</v>
      </c>
      <c r="D45" s="56">
        <v>6000</v>
      </c>
      <c r="E45" s="56">
        <v>6000</v>
      </c>
      <c r="F45" s="56">
        <v>6000</v>
      </c>
      <c r="G45" s="59">
        <f>F45</f>
        <v>6000</v>
      </c>
    </row>
    <row r="46" spans="1:7">
      <c r="A46" s="30" t="s">
        <v>1702</v>
      </c>
      <c r="B46" s="30" t="s">
        <v>522</v>
      </c>
      <c r="C46" s="56"/>
      <c r="D46" s="56"/>
      <c r="E46" s="56"/>
      <c r="F46" s="56">
        <v>0</v>
      </c>
      <c r="G46" s="59">
        <f>10000</f>
        <v>10000</v>
      </c>
    </row>
    <row r="47" spans="1:7">
      <c r="A47" s="30" t="s">
        <v>528</v>
      </c>
      <c r="B47" s="30" t="s">
        <v>529</v>
      </c>
      <c r="C47" s="56">
        <v>0</v>
      </c>
      <c r="D47" s="56">
        <v>8700</v>
      </c>
      <c r="E47" s="56">
        <v>8700</v>
      </c>
      <c r="F47" s="56">
        <v>5000</v>
      </c>
      <c r="G47" s="59">
        <f>5000</f>
        <v>5000</v>
      </c>
    </row>
    <row r="48" spans="1:7">
      <c r="A48" s="30" t="s">
        <v>530</v>
      </c>
      <c r="B48" s="30" t="s">
        <v>531</v>
      </c>
      <c r="C48" s="56">
        <v>12500</v>
      </c>
      <c r="D48" s="56">
        <v>50000</v>
      </c>
      <c r="E48" s="56">
        <v>37500</v>
      </c>
      <c r="F48" s="56">
        <v>50000</v>
      </c>
      <c r="G48" s="59">
        <f>F48</f>
        <v>50000</v>
      </c>
    </row>
    <row r="49" spans="1:8">
      <c r="A49" s="30" t="s">
        <v>1010</v>
      </c>
      <c r="B49" s="30" t="s">
        <v>532</v>
      </c>
      <c r="C49" s="56">
        <v>4518.2</v>
      </c>
      <c r="D49" s="56">
        <v>0</v>
      </c>
      <c r="E49" s="56">
        <v>-4518.2</v>
      </c>
      <c r="F49" s="56">
        <v>428.39464503746626</v>
      </c>
      <c r="G49" s="59">
        <f>'LTD Summary'!J16</f>
        <v>7026.18</v>
      </c>
      <c r="H49" t="s">
        <v>1799</v>
      </c>
    </row>
    <row r="50" spans="1:8">
      <c r="A50" s="30" t="s">
        <v>1011</v>
      </c>
      <c r="B50" s="30" t="s">
        <v>533</v>
      </c>
      <c r="C50" s="56">
        <v>0</v>
      </c>
      <c r="D50" s="56">
        <v>33687</v>
      </c>
      <c r="E50" s="56">
        <v>33687</v>
      </c>
      <c r="F50" s="56">
        <v>0</v>
      </c>
      <c r="G50" s="59">
        <v>0</v>
      </c>
    </row>
    <row r="51" spans="1:8">
      <c r="A51" s="30" t="s">
        <v>534</v>
      </c>
      <c r="B51" s="30" t="s">
        <v>535</v>
      </c>
      <c r="C51" s="56">
        <v>34735.65</v>
      </c>
      <c r="D51" s="56">
        <v>33564</v>
      </c>
      <c r="E51" s="56">
        <v>-1171.6500000000015</v>
      </c>
      <c r="F51" s="56">
        <v>40000</v>
      </c>
      <c r="G51" s="59">
        <v>50000</v>
      </c>
    </row>
    <row r="52" spans="1:8">
      <c r="A52" s="30" t="s">
        <v>536</v>
      </c>
      <c r="B52" s="30" t="s">
        <v>537</v>
      </c>
      <c r="C52" s="56">
        <v>0</v>
      </c>
      <c r="D52" s="56">
        <v>91000</v>
      </c>
      <c r="E52" s="56">
        <v>91000</v>
      </c>
      <c r="F52" s="56">
        <v>0</v>
      </c>
      <c r="G52" s="59">
        <v>0</v>
      </c>
    </row>
    <row r="53" spans="1:8">
      <c r="A53" s="30" t="s">
        <v>1009</v>
      </c>
      <c r="B53" s="30" t="s">
        <v>1008</v>
      </c>
      <c r="C53" s="56"/>
      <c r="D53" s="56"/>
      <c r="E53" s="56"/>
      <c r="F53" s="56">
        <v>20439.731857936575</v>
      </c>
      <c r="G53" s="59">
        <f>'LTD Summary'!J8</f>
        <v>15928.917924944071</v>
      </c>
      <c r="H53" t="s">
        <v>1060</v>
      </c>
    </row>
    <row r="54" spans="1:8">
      <c r="C54" s="56"/>
      <c r="D54" s="56"/>
      <c r="E54" s="56"/>
      <c r="F54" s="56"/>
    </row>
    <row r="55" spans="1:8">
      <c r="C55" s="56"/>
      <c r="D55" s="56"/>
      <c r="E55" s="56"/>
      <c r="F55" s="56"/>
    </row>
    <row r="56" spans="1:8">
      <c r="A56" s="49" t="s">
        <v>249</v>
      </c>
      <c r="B56" s="52"/>
      <c r="C56" s="57">
        <v>464346.69</v>
      </c>
      <c r="D56" s="57">
        <v>717000</v>
      </c>
      <c r="E56" s="57">
        <v>252653.31000000003</v>
      </c>
      <c r="F56" s="57">
        <v>639465.47316964075</v>
      </c>
      <c r="G56" s="75">
        <f>SUM(G20:G53)</f>
        <v>701045.77459161077</v>
      </c>
    </row>
    <row r="57" spans="1:8">
      <c r="C57" s="56"/>
      <c r="D57" s="56"/>
      <c r="E57" s="56"/>
      <c r="F57" s="56"/>
    </row>
    <row r="58" spans="1:8" ht="13.5" thickBot="1">
      <c r="A58" s="43" t="s">
        <v>250</v>
      </c>
      <c r="B58" s="53"/>
      <c r="C58" s="54">
        <v>-458743.52</v>
      </c>
      <c r="D58" s="54">
        <v>-8400</v>
      </c>
      <c r="E58" s="54">
        <v>450343.5199999999</v>
      </c>
      <c r="F58" s="54">
        <v>62945.420163692557</v>
      </c>
      <c r="G58" s="73">
        <f>G17-G56</f>
        <v>5454.2254083892331</v>
      </c>
    </row>
    <row r="59" spans="1:8" ht="13.5" thickTop="1"/>
  </sheetData>
  <mergeCells count="2">
    <mergeCell ref="A4:F4"/>
    <mergeCell ref="A7:F7"/>
  </mergeCells>
  <pageMargins left="0.7" right="0.7" top="0.75" bottom="0.75" header="0.3" footer="0.3"/>
  <pageSetup orientation="landscape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65"/>
  <sheetViews>
    <sheetView zoomScale="150" zoomScaleNormal="150" workbookViewId="0">
      <selection activeCell="A52" sqref="A52"/>
    </sheetView>
  </sheetViews>
  <sheetFormatPr defaultRowHeight="12.75"/>
  <cols>
    <col min="1" max="1" width="46.42578125" bestFit="1" customWidth="1"/>
    <col min="2" max="2" width="8.7109375" customWidth="1"/>
    <col min="3" max="5" width="14.28515625" hidden="1" customWidth="1"/>
    <col min="6" max="6" width="14.28515625" customWidth="1"/>
    <col min="7" max="7" width="11" style="59" customWidth="1"/>
    <col min="8" max="8" width="31.28515625" bestFit="1" customWidth="1"/>
    <col min="256" max="256" width="46.42578125" bestFit="1" customWidth="1"/>
    <col min="257" max="257" width="8.7109375" customWidth="1"/>
    <col min="258" max="262" width="14.28515625" customWidth="1"/>
    <col min="512" max="512" width="46.42578125" bestFit="1" customWidth="1"/>
    <col min="513" max="513" width="8.7109375" customWidth="1"/>
    <col min="514" max="518" width="14.28515625" customWidth="1"/>
    <col min="768" max="768" width="46.42578125" bestFit="1" customWidth="1"/>
    <col min="769" max="769" width="8.7109375" customWidth="1"/>
    <col min="770" max="774" width="14.28515625" customWidth="1"/>
    <col min="1024" max="1024" width="46.42578125" bestFit="1" customWidth="1"/>
    <col min="1025" max="1025" width="8.7109375" customWidth="1"/>
    <col min="1026" max="1030" width="14.28515625" customWidth="1"/>
    <col min="1280" max="1280" width="46.42578125" bestFit="1" customWidth="1"/>
    <col min="1281" max="1281" width="8.7109375" customWidth="1"/>
    <col min="1282" max="1286" width="14.28515625" customWidth="1"/>
    <col min="1536" max="1536" width="46.42578125" bestFit="1" customWidth="1"/>
    <col min="1537" max="1537" width="8.7109375" customWidth="1"/>
    <col min="1538" max="1542" width="14.28515625" customWidth="1"/>
    <col min="1792" max="1792" width="46.42578125" bestFit="1" customWidth="1"/>
    <col min="1793" max="1793" width="8.7109375" customWidth="1"/>
    <col min="1794" max="1798" width="14.28515625" customWidth="1"/>
    <col min="2048" max="2048" width="46.42578125" bestFit="1" customWidth="1"/>
    <col min="2049" max="2049" width="8.7109375" customWidth="1"/>
    <col min="2050" max="2054" width="14.28515625" customWidth="1"/>
    <col min="2304" max="2304" width="46.42578125" bestFit="1" customWidth="1"/>
    <col min="2305" max="2305" width="8.7109375" customWidth="1"/>
    <col min="2306" max="2310" width="14.28515625" customWidth="1"/>
    <col min="2560" max="2560" width="46.42578125" bestFit="1" customWidth="1"/>
    <col min="2561" max="2561" width="8.7109375" customWidth="1"/>
    <col min="2562" max="2566" width="14.28515625" customWidth="1"/>
    <col min="2816" max="2816" width="46.42578125" bestFit="1" customWidth="1"/>
    <col min="2817" max="2817" width="8.7109375" customWidth="1"/>
    <col min="2818" max="2822" width="14.28515625" customWidth="1"/>
    <col min="3072" max="3072" width="46.42578125" bestFit="1" customWidth="1"/>
    <col min="3073" max="3073" width="8.7109375" customWidth="1"/>
    <col min="3074" max="3078" width="14.28515625" customWidth="1"/>
    <col min="3328" max="3328" width="46.42578125" bestFit="1" customWidth="1"/>
    <col min="3329" max="3329" width="8.7109375" customWidth="1"/>
    <col min="3330" max="3334" width="14.28515625" customWidth="1"/>
    <col min="3584" max="3584" width="46.42578125" bestFit="1" customWidth="1"/>
    <col min="3585" max="3585" width="8.7109375" customWidth="1"/>
    <col min="3586" max="3590" width="14.28515625" customWidth="1"/>
    <col min="3840" max="3840" width="46.42578125" bestFit="1" customWidth="1"/>
    <col min="3841" max="3841" width="8.7109375" customWidth="1"/>
    <col min="3842" max="3846" width="14.28515625" customWidth="1"/>
    <col min="4096" max="4096" width="46.42578125" bestFit="1" customWidth="1"/>
    <col min="4097" max="4097" width="8.7109375" customWidth="1"/>
    <col min="4098" max="4102" width="14.28515625" customWidth="1"/>
    <col min="4352" max="4352" width="46.42578125" bestFit="1" customWidth="1"/>
    <col min="4353" max="4353" width="8.7109375" customWidth="1"/>
    <col min="4354" max="4358" width="14.28515625" customWidth="1"/>
    <col min="4608" max="4608" width="46.42578125" bestFit="1" customWidth="1"/>
    <col min="4609" max="4609" width="8.7109375" customWidth="1"/>
    <col min="4610" max="4614" width="14.28515625" customWidth="1"/>
    <col min="4864" max="4864" width="46.42578125" bestFit="1" customWidth="1"/>
    <col min="4865" max="4865" width="8.7109375" customWidth="1"/>
    <col min="4866" max="4870" width="14.28515625" customWidth="1"/>
    <col min="5120" max="5120" width="46.42578125" bestFit="1" customWidth="1"/>
    <col min="5121" max="5121" width="8.7109375" customWidth="1"/>
    <col min="5122" max="5126" width="14.28515625" customWidth="1"/>
    <col min="5376" max="5376" width="46.42578125" bestFit="1" customWidth="1"/>
    <col min="5377" max="5377" width="8.7109375" customWidth="1"/>
    <col min="5378" max="5382" width="14.28515625" customWidth="1"/>
    <col min="5632" max="5632" width="46.42578125" bestFit="1" customWidth="1"/>
    <col min="5633" max="5633" width="8.7109375" customWidth="1"/>
    <col min="5634" max="5638" width="14.28515625" customWidth="1"/>
    <col min="5888" max="5888" width="46.42578125" bestFit="1" customWidth="1"/>
    <col min="5889" max="5889" width="8.7109375" customWidth="1"/>
    <col min="5890" max="5894" width="14.28515625" customWidth="1"/>
    <col min="6144" max="6144" width="46.42578125" bestFit="1" customWidth="1"/>
    <col min="6145" max="6145" width="8.7109375" customWidth="1"/>
    <col min="6146" max="6150" width="14.28515625" customWidth="1"/>
    <col min="6400" max="6400" width="46.42578125" bestFit="1" customWidth="1"/>
    <col min="6401" max="6401" width="8.7109375" customWidth="1"/>
    <col min="6402" max="6406" width="14.28515625" customWidth="1"/>
    <col min="6656" max="6656" width="46.42578125" bestFit="1" customWidth="1"/>
    <col min="6657" max="6657" width="8.7109375" customWidth="1"/>
    <col min="6658" max="6662" width="14.28515625" customWidth="1"/>
    <col min="6912" max="6912" width="46.42578125" bestFit="1" customWidth="1"/>
    <col min="6913" max="6913" width="8.7109375" customWidth="1"/>
    <col min="6914" max="6918" width="14.28515625" customWidth="1"/>
    <col min="7168" max="7168" width="46.42578125" bestFit="1" customWidth="1"/>
    <col min="7169" max="7169" width="8.7109375" customWidth="1"/>
    <col min="7170" max="7174" width="14.28515625" customWidth="1"/>
    <col min="7424" max="7424" width="46.42578125" bestFit="1" customWidth="1"/>
    <col min="7425" max="7425" width="8.7109375" customWidth="1"/>
    <col min="7426" max="7430" width="14.28515625" customWidth="1"/>
    <col min="7680" max="7680" width="46.42578125" bestFit="1" customWidth="1"/>
    <col min="7681" max="7681" width="8.7109375" customWidth="1"/>
    <col min="7682" max="7686" width="14.28515625" customWidth="1"/>
    <col min="7936" max="7936" width="46.42578125" bestFit="1" customWidth="1"/>
    <col min="7937" max="7937" width="8.7109375" customWidth="1"/>
    <col min="7938" max="7942" width="14.28515625" customWidth="1"/>
    <col min="8192" max="8192" width="46.42578125" bestFit="1" customWidth="1"/>
    <col min="8193" max="8193" width="8.7109375" customWidth="1"/>
    <col min="8194" max="8198" width="14.28515625" customWidth="1"/>
    <col min="8448" max="8448" width="46.42578125" bestFit="1" customWidth="1"/>
    <col min="8449" max="8449" width="8.7109375" customWidth="1"/>
    <col min="8450" max="8454" width="14.28515625" customWidth="1"/>
    <col min="8704" max="8704" width="46.42578125" bestFit="1" customWidth="1"/>
    <col min="8705" max="8705" width="8.7109375" customWidth="1"/>
    <col min="8706" max="8710" width="14.28515625" customWidth="1"/>
    <col min="8960" max="8960" width="46.42578125" bestFit="1" customWidth="1"/>
    <col min="8961" max="8961" width="8.7109375" customWidth="1"/>
    <col min="8962" max="8966" width="14.28515625" customWidth="1"/>
    <col min="9216" max="9216" width="46.42578125" bestFit="1" customWidth="1"/>
    <col min="9217" max="9217" width="8.7109375" customWidth="1"/>
    <col min="9218" max="9222" width="14.28515625" customWidth="1"/>
    <col min="9472" max="9472" width="46.42578125" bestFit="1" customWidth="1"/>
    <col min="9473" max="9473" width="8.7109375" customWidth="1"/>
    <col min="9474" max="9478" width="14.28515625" customWidth="1"/>
    <col min="9728" max="9728" width="46.42578125" bestFit="1" customWidth="1"/>
    <col min="9729" max="9729" width="8.7109375" customWidth="1"/>
    <col min="9730" max="9734" width="14.28515625" customWidth="1"/>
    <col min="9984" max="9984" width="46.42578125" bestFit="1" customWidth="1"/>
    <col min="9985" max="9985" width="8.7109375" customWidth="1"/>
    <col min="9986" max="9990" width="14.28515625" customWidth="1"/>
    <col min="10240" max="10240" width="46.42578125" bestFit="1" customWidth="1"/>
    <col min="10241" max="10241" width="8.7109375" customWidth="1"/>
    <col min="10242" max="10246" width="14.28515625" customWidth="1"/>
    <col min="10496" max="10496" width="46.42578125" bestFit="1" customWidth="1"/>
    <col min="10497" max="10497" width="8.7109375" customWidth="1"/>
    <col min="10498" max="10502" width="14.28515625" customWidth="1"/>
    <col min="10752" max="10752" width="46.42578125" bestFit="1" customWidth="1"/>
    <col min="10753" max="10753" width="8.7109375" customWidth="1"/>
    <col min="10754" max="10758" width="14.28515625" customWidth="1"/>
    <col min="11008" max="11008" width="46.42578125" bestFit="1" customWidth="1"/>
    <col min="11009" max="11009" width="8.7109375" customWidth="1"/>
    <col min="11010" max="11014" width="14.28515625" customWidth="1"/>
    <col min="11264" max="11264" width="46.42578125" bestFit="1" customWidth="1"/>
    <col min="11265" max="11265" width="8.7109375" customWidth="1"/>
    <col min="11266" max="11270" width="14.28515625" customWidth="1"/>
    <col min="11520" max="11520" width="46.42578125" bestFit="1" customWidth="1"/>
    <col min="11521" max="11521" width="8.7109375" customWidth="1"/>
    <col min="11522" max="11526" width="14.28515625" customWidth="1"/>
    <col min="11776" max="11776" width="46.42578125" bestFit="1" customWidth="1"/>
    <col min="11777" max="11777" width="8.7109375" customWidth="1"/>
    <col min="11778" max="11782" width="14.28515625" customWidth="1"/>
    <col min="12032" max="12032" width="46.42578125" bestFit="1" customWidth="1"/>
    <col min="12033" max="12033" width="8.7109375" customWidth="1"/>
    <col min="12034" max="12038" width="14.28515625" customWidth="1"/>
    <col min="12288" max="12288" width="46.42578125" bestFit="1" customWidth="1"/>
    <col min="12289" max="12289" width="8.7109375" customWidth="1"/>
    <col min="12290" max="12294" width="14.28515625" customWidth="1"/>
    <col min="12544" max="12544" width="46.42578125" bestFit="1" customWidth="1"/>
    <col min="12545" max="12545" width="8.7109375" customWidth="1"/>
    <col min="12546" max="12550" width="14.28515625" customWidth="1"/>
    <col min="12800" max="12800" width="46.42578125" bestFit="1" customWidth="1"/>
    <col min="12801" max="12801" width="8.7109375" customWidth="1"/>
    <col min="12802" max="12806" width="14.28515625" customWidth="1"/>
    <col min="13056" max="13056" width="46.42578125" bestFit="1" customWidth="1"/>
    <col min="13057" max="13057" width="8.7109375" customWidth="1"/>
    <col min="13058" max="13062" width="14.28515625" customWidth="1"/>
    <col min="13312" max="13312" width="46.42578125" bestFit="1" customWidth="1"/>
    <col min="13313" max="13313" width="8.7109375" customWidth="1"/>
    <col min="13314" max="13318" width="14.28515625" customWidth="1"/>
    <col min="13568" max="13568" width="46.42578125" bestFit="1" customWidth="1"/>
    <col min="13569" max="13569" width="8.7109375" customWidth="1"/>
    <col min="13570" max="13574" width="14.28515625" customWidth="1"/>
    <col min="13824" max="13824" width="46.42578125" bestFit="1" customWidth="1"/>
    <col min="13825" max="13825" width="8.7109375" customWidth="1"/>
    <col min="13826" max="13830" width="14.28515625" customWidth="1"/>
    <col min="14080" max="14080" width="46.42578125" bestFit="1" customWidth="1"/>
    <col min="14081" max="14081" width="8.7109375" customWidth="1"/>
    <col min="14082" max="14086" width="14.28515625" customWidth="1"/>
    <col min="14336" max="14336" width="46.42578125" bestFit="1" customWidth="1"/>
    <col min="14337" max="14337" width="8.7109375" customWidth="1"/>
    <col min="14338" max="14342" width="14.28515625" customWidth="1"/>
    <col min="14592" max="14592" width="46.42578125" bestFit="1" customWidth="1"/>
    <col min="14593" max="14593" width="8.7109375" customWidth="1"/>
    <col min="14594" max="14598" width="14.28515625" customWidth="1"/>
    <col min="14848" max="14848" width="46.42578125" bestFit="1" customWidth="1"/>
    <col min="14849" max="14849" width="8.7109375" customWidth="1"/>
    <col min="14850" max="14854" width="14.28515625" customWidth="1"/>
    <col min="15104" max="15104" width="46.42578125" bestFit="1" customWidth="1"/>
    <col min="15105" max="15105" width="8.7109375" customWidth="1"/>
    <col min="15106" max="15110" width="14.28515625" customWidth="1"/>
    <col min="15360" max="15360" width="46.42578125" bestFit="1" customWidth="1"/>
    <col min="15361" max="15361" width="8.7109375" customWidth="1"/>
    <col min="15362" max="15366" width="14.28515625" customWidth="1"/>
    <col min="15616" max="15616" width="46.42578125" bestFit="1" customWidth="1"/>
    <col min="15617" max="15617" width="8.7109375" customWidth="1"/>
    <col min="15618" max="15622" width="14.28515625" customWidth="1"/>
    <col min="15872" max="15872" width="46.42578125" bestFit="1" customWidth="1"/>
    <col min="15873" max="15873" width="8.7109375" customWidth="1"/>
    <col min="15874" max="15878" width="14.28515625" customWidth="1"/>
    <col min="16128" max="16128" width="46.42578125" bestFit="1" customWidth="1"/>
    <col min="16129" max="16129" width="8.7109375" customWidth="1"/>
    <col min="16130" max="16134" width="14.28515625" customWidth="1"/>
  </cols>
  <sheetData>
    <row r="3" spans="1:8" ht="15">
      <c r="A3" s="35" t="s">
        <v>1825</v>
      </c>
      <c r="B3" s="34"/>
      <c r="C3" s="34"/>
      <c r="D3" s="34"/>
      <c r="E3" s="34"/>
      <c r="F3" s="34"/>
    </row>
    <row r="4" spans="1:8" ht="15">
      <c r="A4" s="341" t="s">
        <v>538</v>
      </c>
      <c r="B4" s="341"/>
      <c r="C4" s="341"/>
      <c r="D4" s="341"/>
      <c r="E4" s="341"/>
      <c r="F4" s="341"/>
    </row>
    <row r="5" spans="1:8" ht="15" hidden="1">
      <c r="A5" s="36" t="s">
        <v>54</v>
      </c>
      <c r="B5" s="34"/>
      <c r="C5" s="34"/>
      <c r="D5" s="34"/>
      <c r="E5" s="34"/>
      <c r="F5" s="34"/>
    </row>
    <row r="6" spans="1:8" hidden="1">
      <c r="A6" s="37" t="s">
        <v>54</v>
      </c>
      <c r="B6" s="34"/>
      <c r="C6" s="34"/>
      <c r="D6" s="34"/>
      <c r="E6" s="34"/>
      <c r="F6" s="34"/>
    </row>
    <row r="7" spans="1:8" hidden="1">
      <c r="A7" s="342">
        <v>42460</v>
      </c>
      <c r="B7" s="342"/>
      <c r="C7" s="342"/>
      <c r="D7" s="342"/>
      <c r="E7" s="342"/>
      <c r="F7" s="342"/>
    </row>
    <row r="8" spans="1:8">
      <c r="A8" s="38"/>
      <c r="B8" s="38"/>
      <c r="C8" s="38"/>
      <c r="D8" s="38"/>
      <c r="E8" s="38"/>
      <c r="F8" s="38"/>
    </row>
    <row r="9" spans="1:8" ht="13.5" thickBot="1">
      <c r="C9" s="17" t="s">
        <v>251</v>
      </c>
      <c r="D9" s="17" t="s">
        <v>251</v>
      </c>
      <c r="E9" s="17" t="s">
        <v>251</v>
      </c>
      <c r="F9" s="17" t="s">
        <v>44</v>
      </c>
      <c r="G9" s="248" t="s">
        <v>1701</v>
      </c>
    </row>
    <row r="10" spans="1:8" ht="13.5" thickTop="1">
      <c r="A10" s="39"/>
      <c r="B10" s="40"/>
      <c r="C10" s="41" t="s">
        <v>55</v>
      </c>
      <c r="D10" s="41" t="s">
        <v>55</v>
      </c>
      <c r="E10" s="41" t="s">
        <v>55</v>
      </c>
      <c r="F10" s="41"/>
      <c r="G10" s="61"/>
    </row>
    <row r="11" spans="1:8" ht="13.5" thickBot="1">
      <c r="A11" s="42"/>
      <c r="B11" s="43"/>
      <c r="C11" s="44" t="s">
        <v>58</v>
      </c>
      <c r="D11" s="44" t="s">
        <v>57</v>
      </c>
      <c r="E11" s="44" t="s">
        <v>59</v>
      </c>
      <c r="F11" s="44" t="s">
        <v>57</v>
      </c>
      <c r="G11" s="62" t="s">
        <v>57</v>
      </c>
      <c r="H11" s="55" t="s">
        <v>252</v>
      </c>
    </row>
    <row r="12" spans="1:8" ht="13.5" thickTop="1">
      <c r="A12" s="45" t="s">
        <v>60</v>
      </c>
      <c r="B12" s="46"/>
      <c r="C12" s="47"/>
      <c r="D12" s="47"/>
      <c r="E12" s="47"/>
      <c r="F12" s="47"/>
    </row>
    <row r="13" spans="1:8">
      <c r="A13" s="30" t="s">
        <v>539</v>
      </c>
      <c r="B13" s="30" t="s">
        <v>540</v>
      </c>
      <c r="C13" s="56">
        <v>4622323.74</v>
      </c>
      <c r="D13" s="56">
        <v>6000000</v>
      </c>
      <c r="E13" s="56">
        <v>1377676.2599999998</v>
      </c>
      <c r="F13" s="56">
        <v>6000000</v>
      </c>
      <c r="G13" s="59">
        <f>F13</f>
        <v>6000000</v>
      </c>
    </row>
    <row r="14" spans="1:8">
      <c r="A14" s="30" t="s">
        <v>541</v>
      </c>
      <c r="B14" s="30" t="s">
        <v>542</v>
      </c>
      <c r="C14" s="56">
        <v>31154.19</v>
      </c>
      <c r="D14" s="56">
        <v>45000</v>
      </c>
      <c r="E14" s="56">
        <v>13845.810000000001</v>
      </c>
      <c r="F14" s="56">
        <v>45000</v>
      </c>
      <c r="G14" s="59">
        <v>45000</v>
      </c>
    </row>
    <row r="15" spans="1:8">
      <c r="A15" s="30"/>
      <c r="B15" s="30"/>
      <c r="C15" s="56"/>
      <c r="D15" s="56"/>
      <c r="E15" s="56"/>
      <c r="F15" s="56"/>
    </row>
    <row r="16" spans="1:8">
      <c r="A16" s="49" t="s">
        <v>115</v>
      </c>
      <c r="B16" s="50"/>
      <c r="C16" s="57">
        <v>4653477.9300000006</v>
      </c>
      <c r="D16" s="57">
        <v>6045000</v>
      </c>
      <c r="E16" s="57">
        <v>1391522.0699999998</v>
      </c>
      <c r="F16" s="57">
        <v>6045000</v>
      </c>
      <c r="G16" s="73">
        <f>SUM(G13:G14)</f>
        <v>6045000</v>
      </c>
    </row>
    <row r="17" spans="1:8">
      <c r="A17" s="46"/>
      <c r="C17" s="56"/>
      <c r="D17" s="56"/>
      <c r="E17" s="56"/>
      <c r="F17" s="56"/>
    </row>
    <row r="18" spans="1:8">
      <c r="A18" s="45" t="s">
        <v>116</v>
      </c>
      <c r="C18" s="56"/>
      <c r="D18" s="56"/>
      <c r="E18" s="56"/>
      <c r="F18" s="56"/>
    </row>
    <row r="19" spans="1:8">
      <c r="A19" s="30" t="s">
        <v>543</v>
      </c>
      <c r="B19" s="30" t="s">
        <v>544</v>
      </c>
      <c r="C19" s="56">
        <v>243160.35</v>
      </c>
      <c r="D19" s="56">
        <v>274083</v>
      </c>
      <c r="E19" s="56">
        <v>30922.649999999994</v>
      </c>
      <c r="F19" s="56">
        <v>258326</v>
      </c>
      <c r="G19" s="59">
        <f>60000+24928.8+24928.8+24928.8+23920+23920+23920+23920+24914.5+33119.25+34045.85+23337.6+28339.27</f>
        <v>374222.87</v>
      </c>
    </row>
    <row r="20" spans="1:8">
      <c r="A20" s="30" t="s">
        <v>545</v>
      </c>
      <c r="B20" s="30" t="s">
        <v>546</v>
      </c>
      <c r="C20" s="56">
        <v>2580.2199999999998</v>
      </c>
      <c r="D20" s="56">
        <v>3000</v>
      </c>
      <c r="E20" s="56">
        <v>419.7800000000002</v>
      </c>
      <c r="F20" s="56">
        <v>3000</v>
      </c>
      <c r="G20" s="59">
        <f>F20</f>
        <v>3000</v>
      </c>
    </row>
    <row r="21" spans="1:8">
      <c r="A21" s="30" t="s">
        <v>547</v>
      </c>
      <c r="B21" s="30" t="s">
        <v>548</v>
      </c>
      <c r="C21" s="56">
        <v>5629.68</v>
      </c>
      <c r="D21" s="56">
        <v>6000</v>
      </c>
      <c r="E21" s="56">
        <v>370.31999999999971</v>
      </c>
      <c r="F21" s="56">
        <v>7506.24</v>
      </c>
      <c r="G21" s="59">
        <f>C21/9*12</f>
        <v>7506.24</v>
      </c>
    </row>
    <row r="22" spans="1:8">
      <c r="A22" s="30" t="s">
        <v>549</v>
      </c>
      <c r="B22" s="30" t="s">
        <v>550</v>
      </c>
      <c r="C22" s="56">
        <v>6671.55</v>
      </c>
      <c r="D22" s="56">
        <v>8000</v>
      </c>
      <c r="E22" s="56">
        <v>1328.4499999999998</v>
      </c>
      <c r="F22" s="56">
        <v>8895.4</v>
      </c>
      <c r="G22" s="59">
        <f>C22/9*12</f>
        <v>8895.4</v>
      </c>
    </row>
    <row r="23" spans="1:8">
      <c r="A23" s="30" t="s">
        <v>551</v>
      </c>
      <c r="B23" s="30" t="s">
        <v>552</v>
      </c>
      <c r="C23" s="56">
        <v>0</v>
      </c>
      <c r="D23" s="56">
        <v>15000</v>
      </c>
      <c r="E23" s="56">
        <v>15000</v>
      </c>
      <c r="F23" s="56">
        <v>15000</v>
      </c>
      <c r="G23" s="59">
        <v>15000</v>
      </c>
    </row>
    <row r="24" spans="1:8">
      <c r="A24" s="30" t="s">
        <v>161</v>
      </c>
      <c r="B24" s="30" t="s">
        <v>553</v>
      </c>
      <c r="C24" s="56">
        <v>0</v>
      </c>
      <c r="D24" s="56">
        <v>1000</v>
      </c>
      <c r="E24" s="56">
        <v>1000</v>
      </c>
      <c r="F24" s="56">
        <v>1000</v>
      </c>
      <c r="G24" s="59">
        <v>1000</v>
      </c>
    </row>
    <row r="25" spans="1:8">
      <c r="A25" s="30" t="s">
        <v>554</v>
      </c>
      <c r="B25" s="30" t="s">
        <v>555</v>
      </c>
      <c r="C25" s="56">
        <v>0</v>
      </c>
      <c r="D25" s="56">
        <v>150000</v>
      </c>
      <c r="E25" s="56">
        <v>150000</v>
      </c>
      <c r="F25" s="56">
        <v>100000</v>
      </c>
      <c r="G25" s="59">
        <v>100000</v>
      </c>
      <c r="H25" t="s">
        <v>1262</v>
      </c>
    </row>
    <row r="26" spans="1:8">
      <c r="A26" s="30" t="s">
        <v>556</v>
      </c>
      <c r="B26" s="30" t="s">
        <v>557</v>
      </c>
      <c r="C26" s="56">
        <v>11438</v>
      </c>
      <c r="D26" s="56">
        <v>17000</v>
      </c>
      <c r="E26" s="56">
        <v>5562</v>
      </c>
      <c r="F26" s="56">
        <v>17000</v>
      </c>
      <c r="G26" s="59">
        <f>F26</f>
        <v>17000</v>
      </c>
    </row>
    <row r="27" spans="1:8">
      <c r="A27" s="30" t="s">
        <v>558</v>
      </c>
      <c r="B27" s="30" t="s">
        <v>559</v>
      </c>
      <c r="C27" s="56">
        <v>0</v>
      </c>
      <c r="D27" s="56">
        <v>14400</v>
      </c>
      <c r="E27" s="56">
        <v>14400</v>
      </c>
      <c r="F27" s="56">
        <v>14400</v>
      </c>
      <c r="G27" s="59">
        <f>F27</f>
        <v>14400</v>
      </c>
      <c r="H27" t="s">
        <v>1019</v>
      </c>
    </row>
    <row r="28" spans="1:8">
      <c r="A28" s="30" t="s">
        <v>560</v>
      </c>
      <c r="B28" s="30" t="s">
        <v>561</v>
      </c>
      <c r="C28" s="56">
        <v>2907.42</v>
      </c>
      <c r="D28" s="56">
        <v>3500</v>
      </c>
      <c r="E28" s="56">
        <v>592.57999999999993</v>
      </c>
      <c r="F28" s="56">
        <v>3500</v>
      </c>
      <c r="G28" s="59">
        <f>F28</f>
        <v>3500</v>
      </c>
    </row>
    <row r="29" spans="1:8">
      <c r="A29" s="30" t="s">
        <v>562</v>
      </c>
      <c r="B29" s="30" t="s">
        <v>563</v>
      </c>
      <c r="C29" s="56">
        <v>-97</v>
      </c>
      <c r="D29" s="56">
        <v>120000</v>
      </c>
      <c r="E29" s="56">
        <v>120097</v>
      </c>
      <c r="F29" s="56">
        <v>120000</v>
      </c>
      <c r="G29" s="59">
        <f>F29</f>
        <v>120000</v>
      </c>
    </row>
    <row r="30" spans="1:8">
      <c r="A30" s="30" t="s">
        <v>564</v>
      </c>
      <c r="B30" s="30" t="s">
        <v>565</v>
      </c>
      <c r="C30" s="56">
        <v>2451.06</v>
      </c>
      <c r="D30" s="56">
        <v>5000</v>
      </c>
      <c r="E30" s="56">
        <v>2548.94</v>
      </c>
      <c r="F30" s="56">
        <v>3000</v>
      </c>
      <c r="G30" s="59">
        <v>3000</v>
      </c>
    </row>
    <row r="31" spans="1:8">
      <c r="A31" s="30" t="s">
        <v>566</v>
      </c>
      <c r="B31" s="30" t="s">
        <v>567</v>
      </c>
      <c r="C31" s="56">
        <v>11445.6</v>
      </c>
      <c r="D31" s="56">
        <v>0</v>
      </c>
      <c r="E31" s="56">
        <v>-11445.6</v>
      </c>
      <c r="F31" s="56">
        <v>0</v>
      </c>
      <c r="G31" s="59">
        <v>0</v>
      </c>
    </row>
    <row r="32" spans="1:8">
      <c r="A32" s="30" t="s">
        <v>568</v>
      </c>
      <c r="B32" s="30" t="s">
        <v>569</v>
      </c>
      <c r="C32" s="56">
        <v>104350.6</v>
      </c>
      <c r="D32" s="56">
        <v>135600</v>
      </c>
      <c r="E32" s="56">
        <v>31249.399999999994</v>
      </c>
      <c r="F32" s="56">
        <v>135600</v>
      </c>
      <c r="G32" s="59">
        <f>F32</f>
        <v>135600</v>
      </c>
      <c r="H32" s="67" t="s">
        <v>1012</v>
      </c>
    </row>
    <row r="33" spans="1:8">
      <c r="A33" s="30" t="s">
        <v>570</v>
      </c>
      <c r="B33" s="30" t="s">
        <v>571</v>
      </c>
      <c r="C33" s="56">
        <v>3615494.78</v>
      </c>
      <c r="D33" s="56">
        <v>4644000</v>
      </c>
      <c r="E33" s="56">
        <v>1028505.2200000002</v>
      </c>
      <c r="F33" s="56">
        <v>4644000</v>
      </c>
      <c r="G33" s="59">
        <f>F33</f>
        <v>4644000</v>
      </c>
      <c r="H33" t="s">
        <v>1013</v>
      </c>
    </row>
    <row r="34" spans="1:8">
      <c r="A34" s="30" t="s">
        <v>572</v>
      </c>
      <c r="B34" s="30" t="s">
        <v>573</v>
      </c>
      <c r="C34" s="56">
        <v>12222.99</v>
      </c>
      <c r="D34" s="56">
        <v>12500</v>
      </c>
      <c r="E34" s="56">
        <v>277.01000000000022</v>
      </c>
      <c r="F34" s="56">
        <v>12500</v>
      </c>
      <c r="G34" s="59">
        <f>F34</f>
        <v>12500</v>
      </c>
    </row>
    <row r="35" spans="1:8">
      <c r="A35" s="30" t="s">
        <v>574</v>
      </c>
      <c r="B35" s="30" t="s">
        <v>575</v>
      </c>
      <c r="C35" s="56">
        <v>34995.910000000003</v>
      </c>
      <c r="D35" s="56">
        <v>40000</v>
      </c>
      <c r="E35" s="56">
        <v>5004.0899999999965</v>
      </c>
      <c r="F35" s="56">
        <v>40000</v>
      </c>
      <c r="G35" s="59">
        <f>F35</f>
        <v>40000</v>
      </c>
    </row>
    <row r="36" spans="1:8">
      <c r="A36" s="30" t="s">
        <v>576</v>
      </c>
      <c r="B36" s="30" t="s">
        <v>577</v>
      </c>
      <c r="C36" s="56">
        <v>63834.93</v>
      </c>
      <c r="D36" s="56">
        <v>16640</v>
      </c>
      <c r="E36" s="56">
        <v>-47194.93</v>
      </c>
      <c r="F36" s="56">
        <v>0</v>
      </c>
      <c r="G36" s="59">
        <v>0</v>
      </c>
    </row>
    <row r="37" spans="1:8">
      <c r="A37" s="30" t="s">
        <v>578</v>
      </c>
      <c r="B37" s="30" t="s">
        <v>579</v>
      </c>
      <c r="C37" s="56">
        <v>4513.37</v>
      </c>
      <c r="D37" s="56">
        <v>5975</v>
      </c>
      <c r="E37" s="56">
        <v>1461.63</v>
      </c>
      <c r="F37" s="56">
        <v>5000</v>
      </c>
      <c r="G37" s="59">
        <v>5000</v>
      </c>
    </row>
    <row r="38" spans="1:8">
      <c r="A38" s="30" t="s">
        <v>580</v>
      </c>
      <c r="B38" s="30" t="s">
        <v>581</v>
      </c>
      <c r="C38" s="56">
        <v>0</v>
      </c>
      <c r="D38" s="56">
        <v>7200</v>
      </c>
      <c r="E38" s="56">
        <v>7200</v>
      </c>
      <c r="F38" s="56">
        <v>7200</v>
      </c>
      <c r="G38" s="59">
        <f>F38</f>
        <v>7200</v>
      </c>
      <c r="H38" t="s">
        <v>1019</v>
      </c>
    </row>
    <row r="39" spans="1:8">
      <c r="A39" s="30" t="s">
        <v>582</v>
      </c>
      <c r="B39" s="30" t="s">
        <v>583</v>
      </c>
      <c r="C39" s="56">
        <v>7695.58</v>
      </c>
      <c r="D39" s="56">
        <v>0</v>
      </c>
      <c r="E39" s="56">
        <v>-7695.58</v>
      </c>
      <c r="F39" s="56">
        <v>5000</v>
      </c>
      <c r="G39" s="59">
        <v>5000</v>
      </c>
    </row>
    <row r="40" spans="1:8">
      <c r="A40" s="30" t="s">
        <v>584</v>
      </c>
      <c r="B40" s="30" t="s">
        <v>585</v>
      </c>
      <c r="C40" s="56">
        <v>0</v>
      </c>
      <c r="D40" s="56">
        <v>18000</v>
      </c>
      <c r="E40" s="56">
        <v>18000</v>
      </c>
      <c r="F40" s="56">
        <v>18000</v>
      </c>
      <c r="G40" s="59">
        <f>F40</f>
        <v>18000</v>
      </c>
    </row>
    <row r="41" spans="1:8">
      <c r="A41" s="30" t="s">
        <v>586</v>
      </c>
      <c r="B41" s="30" t="s">
        <v>587</v>
      </c>
      <c r="C41" s="56">
        <v>36508.19</v>
      </c>
      <c r="D41" s="56">
        <v>20000</v>
      </c>
      <c r="E41" s="56">
        <v>-16508.190000000002</v>
      </c>
      <c r="F41" s="56">
        <v>10000</v>
      </c>
      <c r="G41" s="59">
        <v>10000</v>
      </c>
    </row>
    <row r="42" spans="1:8">
      <c r="A42" s="30" t="s">
        <v>588</v>
      </c>
      <c r="B42" s="30" t="s">
        <v>589</v>
      </c>
      <c r="C42" s="56">
        <v>1946.25</v>
      </c>
      <c r="D42" s="56">
        <v>5000</v>
      </c>
      <c r="E42" s="56">
        <v>3053.75</v>
      </c>
      <c r="F42" s="56">
        <v>4443</v>
      </c>
      <c r="G42" s="59">
        <f>5000-557</f>
        <v>4443</v>
      </c>
    </row>
    <row r="43" spans="1:8">
      <c r="A43" s="30" t="s">
        <v>590</v>
      </c>
      <c r="B43" s="30" t="s">
        <v>591</v>
      </c>
      <c r="C43" s="56">
        <v>1360.96</v>
      </c>
      <c r="D43" s="56">
        <v>1</v>
      </c>
      <c r="E43" s="56">
        <v>-1359.96</v>
      </c>
      <c r="F43" s="56">
        <v>0.56000000000000005</v>
      </c>
      <c r="G43" s="59">
        <v>0.56000000000000005</v>
      </c>
    </row>
    <row r="44" spans="1:8">
      <c r="A44" s="30" t="s">
        <v>592</v>
      </c>
      <c r="B44" s="30" t="s">
        <v>593</v>
      </c>
      <c r="C44" s="56">
        <v>0</v>
      </c>
      <c r="D44" s="56">
        <v>1</v>
      </c>
      <c r="E44" s="56">
        <v>1</v>
      </c>
      <c r="F44" s="56">
        <v>1</v>
      </c>
      <c r="G44" s="59">
        <f>F44</f>
        <v>1</v>
      </c>
    </row>
    <row r="45" spans="1:8">
      <c r="A45" s="68" t="s">
        <v>597</v>
      </c>
      <c r="B45" s="68" t="s">
        <v>598</v>
      </c>
      <c r="C45" s="69">
        <v>0</v>
      </c>
      <c r="D45" s="69">
        <v>100000</v>
      </c>
      <c r="E45" s="69">
        <v>100000</v>
      </c>
      <c r="F45" s="69">
        <v>50000</v>
      </c>
      <c r="G45" s="59">
        <v>50000</v>
      </c>
      <c r="H45" t="s">
        <v>1014</v>
      </c>
    </row>
    <row r="46" spans="1:8">
      <c r="A46" s="68" t="s">
        <v>611</v>
      </c>
      <c r="B46" s="68" t="s">
        <v>612</v>
      </c>
      <c r="C46" s="69">
        <v>0</v>
      </c>
      <c r="D46" s="69">
        <v>2000</v>
      </c>
      <c r="E46" s="69">
        <v>2000</v>
      </c>
      <c r="F46" s="69">
        <v>2000</v>
      </c>
      <c r="G46" s="59">
        <v>0</v>
      </c>
      <c r="H46" t="s">
        <v>1016</v>
      </c>
    </row>
    <row r="47" spans="1:8">
      <c r="A47" s="68" t="s">
        <v>615</v>
      </c>
      <c r="B47" s="68" t="s">
        <v>616</v>
      </c>
      <c r="C47" s="69">
        <v>0</v>
      </c>
      <c r="D47" s="69">
        <v>36540</v>
      </c>
      <c r="E47" s="69">
        <v>36540</v>
      </c>
      <c r="F47" s="69">
        <v>36540</v>
      </c>
      <c r="G47" s="59">
        <f>F47</f>
        <v>36540</v>
      </c>
      <c r="H47" t="s">
        <v>1017</v>
      </c>
    </row>
    <row r="48" spans="1:8">
      <c r="A48" s="68" t="s">
        <v>617</v>
      </c>
      <c r="B48" s="68" t="s">
        <v>618</v>
      </c>
      <c r="C48" s="69">
        <v>0</v>
      </c>
      <c r="D48" s="69">
        <v>36000</v>
      </c>
      <c r="E48" s="69">
        <v>36000</v>
      </c>
      <c r="F48" s="69">
        <v>0</v>
      </c>
      <c r="G48" s="59">
        <v>0</v>
      </c>
      <c r="H48" t="s">
        <v>1018</v>
      </c>
    </row>
    <row r="49" spans="1:8">
      <c r="A49" s="68" t="s">
        <v>619</v>
      </c>
      <c r="B49" s="68" t="s">
        <v>620</v>
      </c>
      <c r="C49" s="69">
        <v>0</v>
      </c>
      <c r="D49" s="69">
        <v>10000</v>
      </c>
      <c r="E49" s="69">
        <v>10000</v>
      </c>
      <c r="F49" s="69">
        <v>20000</v>
      </c>
      <c r="G49" s="59">
        <v>20000</v>
      </c>
    </row>
    <row r="50" spans="1:8">
      <c r="A50" s="68" t="s">
        <v>594</v>
      </c>
      <c r="B50" s="30" t="s">
        <v>595</v>
      </c>
      <c r="C50" s="56">
        <v>120000</v>
      </c>
      <c r="D50" s="56">
        <v>100000</v>
      </c>
      <c r="E50" s="56">
        <v>-20000</v>
      </c>
      <c r="F50" s="56">
        <v>80000</v>
      </c>
      <c r="G50" s="59">
        <v>80000</v>
      </c>
    </row>
    <row r="51" spans="1:8">
      <c r="A51" s="68" t="s">
        <v>1839</v>
      </c>
      <c r="B51" s="68" t="s">
        <v>596</v>
      </c>
      <c r="C51" s="69">
        <v>25000</v>
      </c>
      <c r="D51" s="69">
        <v>35000</v>
      </c>
      <c r="E51" s="69">
        <v>10000</v>
      </c>
      <c r="F51" s="69">
        <v>35000</v>
      </c>
      <c r="G51" s="59">
        <v>40000</v>
      </c>
    </row>
    <row r="52" spans="1:8">
      <c r="A52" s="68" t="s">
        <v>613</v>
      </c>
      <c r="B52" s="68" t="s">
        <v>614</v>
      </c>
      <c r="C52" s="69">
        <v>65000</v>
      </c>
      <c r="D52" s="69">
        <v>90000</v>
      </c>
      <c r="E52" s="69">
        <v>25000</v>
      </c>
      <c r="F52" s="69">
        <v>90000</v>
      </c>
      <c r="G52" s="59">
        <v>90000</v>
      </c>
      <c r="H52" t="s">
        <v>1717</v>
      </c>
    </row>
    <row r="53" spans="1:8">
      <c r="A53" s="68" t="s">
        <v>621</v>
      </c>
      <c r="B53" s="68" t="s">
        <v>622</v>
      </c>
      <c r="C53" s="69">
        <v>0</v>
      </c>
      <c r="D53" s="69">
        <v>2200</v>
      </c>
      <c r="E53" s="69">
        <v>2200</v>
      </c>
      <c r="F53" s="69">
        <v>2500</v>
      </c>
      <c r="G53" s="59">
        <v>2500</v>
      </c>
    </row>
    <row r="54" spans="1:8">
      <c r="A54" s="68" t="s">
        <v>1814</v>
      </c>
      <c r="B54" s="68" t="s">
        <v>1697</v>
      </c>
      <c r="C54" s="56"/>
      <c r="D54" s="56"/>
      <c r="E54" s="56"/>
      <c r="F54" s="56">
        <v>150000</v>
      </c>
      <c r="G54" s="59">
        <v>0</v>
      </c>
    </row>
    <row r="55" spans="1:8">
      <c r="A55" s="68" t="s">
        <v>599</v>
      </c>
      <c r="B55" s="68" t="s">
        <v>600</v>
      </c>
      <c r="C55" s="69">
        <v>18603</v>
      </c>
      <c r="D55" s="69">
        <v>40000</v>
      </c>
      <c r="E55" s="69">
        <v>21397</v>
      </c>
      <c r="F55" s="69"/>
      <c r="G55" s="59">
        <v>30000</v>
      </c>
      <c r="H55" t="s">
        <v>1804</v>
      </c>
    </row>
    <row r="56" spans="1:8">
      <c r="A56" s="68" t="s">
        <v>601</v>
      </c>
      <c r="B56" s="68" t="s">
        <v>602</v>
      </c>
      <c r="C56" s="69">
        <v>10761.75</v>
      </c>
      <c r="D56" s="69">
        <v>12000</v>
      </c>
      <c r="E56" s="69">
        <v>1238.25</v>
      </c>
      <c r="F56" s="69"/>
      <c r="G56" s="59">
        <v>30000</v>
      </c>
    </row>
    <row r="57" spans="1:8">
      <c r="A57" s="68" t="s">
        <v>605</v>
      </c>
      <c r="B57" s="68" t="s">
        <v>606</v>
      </c>
      <c r="C57" s="69">
        <v>18070</v>
      </c>
      <c r="D57" s="69">
        <v>22000</v>
      </c>
      <c r="E57" s="69">
        <v>3930</v>
      </c>
      <c r="F57" s="69"/>
      <c r="G57" s="59">
        <v>15000</v>
      </c>
    </row>
    <row r="58" spans="1:8">
      <c r="A58" s="68" t="s">
        <v>607</v>
      </c>
      <c r="B58" s="68" t="s">
        <v>608</v>
      </c>
      <c r="C58" s="69">
        <v>6440</v>
      </c>
      <c r="D58" s="69">
        <v>0</v>
      </c>
      <c r="E58" s="69">
        <v>-6440</v>
      </c>
      <c r="F58" s="69"/>
      <c r="G58" s="59">
        <v>5000</v>
      </c>
    </row>
    <row r="59" spans="1:8">
      <c r="A59" s="68" t="s">
        <v>603</v>
      </c>
      <c r="B59" s="68" t="s">
        <v>604</v>
      </c>
      <c r="C59" s="69">
        <v>70060.649999999994</v>
      </c>
      <c r="D59" s="69">
        <v>25000</v>
      </c>
      <c r="E59" s="69">
        <v>-45060.649999999994</v>
      </c>
      <c r="F59" s="69"/>
      <c r="G59" s="59">
        <v>20000</v>
      </c>
    </row>
    <row r="60" spans="1:8">
      <c r="A60" s="68" t="s">
        <v>609</v>
      </c>
      <c r="B60" s="68" t="s">
        <v>610</v>
      </c>
      <c r="C60" s="69">
        <v>61311.11</v>
      </c>
      <c r="D60" s="69">
        <v>0</v>
      </c>
      <c r="E60" s="69">
        <v>-61311.11</v>
      </c>
      <c r="F60" s="69"/>
      <c r="G60" s="59">
        <v>30000</v>
      </c>
    </row>
    <row r="61" spans="1:8">
      <c r="A61" s="68"/>
      <c r="B61" s="68"/>
      <c r="C61" s="56"/>
      <c r="D61" s="56"/>
      <c r="E61" s="56"/>
      <c r="F61" s="56"/>
    </row>
    <row r="62" spans="1:8">
      <c r="A62" s="49" t="s">
        <v>249</v>
      </c>
      <c r="B62" s="52"/>
      <c r="C62" s="57">
        <v>4636241.8600000003</v>
      </c>
      <c r="D62" s="57">
        <v>6092640</v>
      </c>
      <c r="E62" s="57">
        <v>1456398.1400000004</v>
      </c>
      <c r="F62" s="57">
        <v>5899412.1999999993</v>
      </c>
      <c r="G62" s="75">
        <f>SUM(G19:G60)</f>
        <v>5998309.0699999994</v>
      </c>
    </row>
    <row r="63" spans="1:8">
      <c r="C63" s="56"/>
      <c r="D63" s="56"/>
      <c r="E63" s="56"/>
      <c r="F63" s="56"/>
    </row>
    <row r="64" spans="1:8" ht="13.5" thickBot="1">
      <c r="A64" s="43" t="s">
        <v>250</v>
      </c>
      <c r="B64" s="53"/>
      <c r="C64" s="54">
        <v>17236.070000000298</v>
      </c>
      <c r="D64" s="54">
        <v>-47640</v>
      </c>
      <c r="E64" s="54">
        <v>-64876.070000000531</v>
      </c>
      <c r="F64" s="54">
        <v>145587.80000000075</v>
      </c>
      <c r="G64" s="73">
        <f>G16-G62</f>
        <v>46690.930000000633</v>
      </c>
    </row>
    <row r="65" ht="13.5" thickTop="1"/>
  </sheetData>
  <mergeCells count="2">
    <mergeCell ref="A4:F4"/>
    <mergeCell ref="A7:F7"/>
  </mergeCells>
  <pageMargins left="0.7" right="0.7" top="0.75" bottom="0.75" header="0.3" footer="0.3"/>
  <pageSetup orientation="landscape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7"/>
  <sheetViews>
    <sheetView zoomScale="150" zoomScaleNormal="150" workbookViewId="0">
      <selection activeCell="I46" sqref="I46"/>
    </sheetView>
  </sheetViews>
  <sheetFormatPr defaultRowHeight="12.75"/>
  <cols>
    <col min="1" max="1" width="46.42578125" bestFit="1" customWidth="1"/>
    <col min="2" max="2" width="8.7109375" customWidth="1"/>
    <col min="3" max="5" width="14.28515625" hidden="1" customWidth="1"/>
    <col min="6" max="6" width="14.28515625" customWidth="1"/>
    <col min="7" max="7" width="10.7109375" style="59" bestFit="1" customWidth="1"/>
    <col min="8" max="8" width="18.5703125" customWidth="1"/>
    <col min="256" max="256" width="46.42578125" bestFit="1" customWidth="1"/>
    <col min="257" max="257" width="8.7109375" customWidth="1"/>
    <col min="258" max="262" width="14.28515625" customWidth="1"/>
    <col min="512" max="512" width="46.42578125" bestFit="1" customWidth="1"/>
    <col min="513" max="513" width="8.7109375" customWidth="1"/>
    <col min="514" max="518" width="14.28515625" customWidth="1"/>
    <col min="768" max="768" width="46.42578125" bestFit="1" customWidth="1"/>
    <col min="769" max="769" width="8.7109375" customWidth="1"/>
    <col min="770" max="774" width="14.28515625" customWidth="1"/>
    <col min="1024" max="1024" width="46.42578125" bestFit="1" customWidth="1"/>
    <col min="1025" max="1025" width="8.7109375" customWidth="1"/>
    <col min="1026" max="1030" width="14.28515625" customWidth="1"/>
    <col min="1280" max="1280" width="46.42578125" bestFit="1" customWidth="1"/>
    <col min="1281" max="1281" width="8.7109375" customWidth="1"/>
    <col min="1282" max="1286" width="14.28515625" customWidth="1"/>
    <col min="1536" max="1536" width="46.42578125" bestFit="1" customWidth="1"/>
    <col min="1537" max="1537" width="8.7109375" customWidth="1"/>
    <col min="1538" max="1542" width="14.28515625" customWidth="1"/>
    <col min="1792" max="1792" width="46.42578125" bestFit="1" customWidth="1"/>
    <col min="1793" max="1793" width="8.7109375" customWidth="1"/>
    <col min="1794" max="1798" width="14.28515625" customWidth="1"/>
    <col min="2048" max="2048" width="46.42578125" bestFit="1" customWidth="1"/>
    <col min="2049" max="2049" width="8.7109375" customWidth="1"/>
    <col min="2050" max="2054" width="14.28515625" customWidth="1"/>
    <col min="2304" max="2304" width="46.42578125" bestFit="1" customWidth="1"/>
    <col min="2305" max="2305" width="8.7109375" customWidth="1"/>
    <col min="2306" max="2310" width="14.28515625" customWidth="1"/>
    <col min="2560" max="2560" width="46.42578125" bestFit="1" customWidth="1"/>
    <col min="2561" max="2561" width="8.7109375" customWidth="1"/>
    <col min="2562" max="2566" width="14.28515625" customWidth="1"/>
    <col min="2816" max="2816" width="46.42578125" bestFit="1" customWidth="1"/>
    <col min="2817" max="2817" width="8.7109375" customWidth="1"/>
    <col min="2818" max="2822" width="14.28515625" customWidth="1"/>
    <col min="3072" max="3072" width="46.42578125" bestFit="1" customWidth="1"/>
    <col min="3073" max="3073" width="8.7109375" customWidth="1"/>
    <col min="3074" max="3078" width="14.28515625" customWidth="1"/>
    <col min="3328" max="3328" width="46.42578125" bestFit="1" customWidth="1"/>
    <col min="3329" max="3329" width="8.7109375" customWidth="1"/>
    <col min="3330" max="3334" width="14.28515625" customWidth="1"/>
    <col min="3584" max="3584" width="46.42578125" bestFit="1" customWidth="1"/>
    <col min="3585" max="3585" width="8.7109375" customWidth="1"/>
    <col min="3586" max="3590" width="14.28515625" customWidth="1"/>
    <col min="3840" max="3840" width="46.42578125" bestFit="1" customWidth="1"/>
    <col min="3841" max="3841" width="8.7109375" customWidth="1"/>
    <col min="3842" max="3846" width="14.28515625" customWidth="1"/>
    <col min="4096" max="4096" width="46.42578125" bestFit="1" customWidth="1"/>
    <col min="4097" max="4097" width="8.7109375" customWidth="1"/>
    <col min="4098" max="4102" width="14.28515625" customWidth="1"/>
    <col min="4352" max="4352" width="46.42578125" bestFit="1" customWidth="1"/>
    <col min="4353" max="4353" width="8.7109375" customWidth="1"/>
    <col min="4354" max="4358" width="14.28515625" customWidth="1"/>
    <col min="4608" max="4608" width="46.42578125" bestFit="1" customWidth="1"/>
    <col min="4609" max="4609" width="8.7109375" customWidth="1"/>
    <col min="4610" max="4614" width="14.28515625" customWidth="1"/>
    <col min="4864" max="4864" width="46.42578125" bestFit="1" customWidth="1"/>
    <col min="4865" max="4865" width="8.7109375" customWidth="1"/>
    <col min="4866" max="4870" width="14.28515625" customWidth="1"/>
    <col min="5120" max="5120" width="46.42578125" bestFit="1" customWidth="1"/>
    <col min="5121" max="5121" width="8.7109375" customWidth="1"/>
    <col min="5122" max="5126" width="14.28515625" customWidth="1"/>
    <col min="5376" max="5376" width="46.42578125" bestFit="1" customWidth="1"/>
    <col min="5377" max="5377" width="8.7109375" customWidth="1"/>
    <col min="5378" max="5382" width="14.28515625" customWidth="1"/>
    <col min="5632" max="5632" width="46.42578125" bestFit="1" customWidth="1"/>
    <col min="5633" max="5633" width="8.7109375" customWidth="1"/>
    <col min="5634" max="5638" width="14.28515625" customWidth="1"/>
    <col min="5888" max="5888" width="46.42578125" bestFit="1" customWidth="1"/>
    <col min="5889" max="5889" width="8.7109375" customWidth="1"/>
    <col min="5890" max="5894" width="14.28515625" customWidth="1"/>
    <col min="6144" max="6144" width="46.42578125" bestFit="1" customWidth="1"/>
    <col min="6145" max="6145" width="8.7109375" customWidth="1"/>
    <col min="6146" max="6150" width="14.28515625" customWidth="1"/>
    <col min="6400" max="6400" width="46.42578125" bestFit="1" customWidth="1"/>
    <col min="6401" max="6401" width="8.7109375" customWidth="1"/>
    <col min="6402" max="6406" width="14.28515625" customWidth="1"/>
    <col min="6656" max="6656" width="46.42578125" bestFit="1" customWidth="1"/>
    <col min="6657" max="6657" width="8.7109375" customWidth="1"/>
    <col min="6658" max="6662" width="14.28515625" customWidth="1"/>
    <col min="6912" max="6912" width="46.42578125" bestFit="1" customWidth="1"/>
    <col min="6913" max="6913" width="8.7109375" customWidth="1"/>
    <col min="6914" max="6918" width="14.28515625" customWidth="1"/>
    <col min="7168" max="7168" width="46.42578125" bestFit="1" customWidth="1"/>
    <col min="7169" max="7169" width="8.7109375" customWidth="1"/>
    <col min="7170" max="7174" width="14.28515625" customWidth="1"/>
    <col min="7424" max="7424" width="46.42578125" bestFit="1" customWidth="1"/>
    <col min="7425" max="7425" width="8.7109375" customWidth="1"/>
    <col min="7426" max="7430" width="14.28515625" customWidth="1"/>
    <col min="7680" max="7680" width="46.42578125" bestFit="1" customWidth="1"/>
    <col min="7681" max="7681" width="8.7109375" customWidth="1"/>
    <col min="7682" max="7686" width="14.28515625" customWidth="1"/>
    <col min="7936" max="7936" width="46.42578125" bestFit="1" customWidth="1"/>
    <col min="7937" max="7937" width="8.7109375" customWidth="1"/>
    <col min="7938" max="7942" width="14.28515625" customWidth="1"/>
    <col min="8192" max="8192" width="46.42578125" bestFit="1" customWidth="1"/>
    <col min="8193" max="8193" width="8.7109375" customWidth="1"/>
    <col min="8194" max="8198" width="14.28515625" customWidth="1"/>
    <col min="8448" max="8448" width="46.42578125" bestFit="1" customWidth="1"/>
    <col min="8449" max="8449" width="8.7109375" customWidth="1"/>
    <col min="8450" max="8454" width="14.28515625" customWidth="1"/>
    <col min="8704" max="8704" width="46.42578125" bestFit="1" customWidth="1"/>
    <col min="8705" max="8705" width="8.7109375" customWidth="1"/>
    <col min="8706" max="8710" width="14.28515625" customWidth="1"/>
    <col min="8960" max="8960" width="46.42578125" bestFit="1" customWidth="1"/>
    <col min="8961" max="8961" width="8.7109375" customWidth="1"/>
    <col min="8962" max="8966" width="14.28515625" customWidth="1"/>
    <col min="9216" max="9216" width="46.42578125" bestFit="1" customWidth="1"/>
    <col min="9217" max="9217" width="8.7109375" customWidth="1"/>
    <col min="9218" max="9222" width="14.28515625" customWidth="1"/>
    <col min="9472" max="9472" width="46.42578125" bestFit="1" customWidth="1"/>
    <col min="9473" max="9473" width="8.7109375" customWidth="1"/>
    <col min="9474" max="9478" width="14.28515625" customWidth="1"/>
    <col min="9728" max="9728" width="46.42578125" bestFit="1" customWidth="1"/>
    <col min="9729" max="9729" width="8.7109375" customWidth="1"/>
    <col min="9730" max="9734" width="14.28515625" customWidth="1"/>
    <col min="9984" max="9984" width="46.42578125" bestFit="1" customWidth="1"/>
    <col min="9985" max="9985" width="8.7109375" customWidth="1"/>
    <col min="9986" max="9990" width="14.28515625" customWidth="1"/>
    <col min="10240" max="10240" width="46.42578125" bestFit="1" customWidth="1"/>
    <col min="10241" max="10241" width="8.7109375" customWidth="1"/>
    <col min="10242" max="10246" width="14.28515625" customWidth="1"/>
    <col min="10496" max="10496" width="46.42578125" bestFit="1" customWidth="1"/>
    <col min="10497" max="10497" width="8.7109375" customWidth="1"/>
    <col min="10498" max="10502" width="14.28515625" customWidth="1"/>
    <col min="10752" max="10752" width="46.42578125" bestFit="1" customWidth="1"/>
    <col min="10753" max="10753" width="8.7109375" customWidth="1"/>
    <col min="10754" max="10758" width="14.28515625" customWidth="1"/>
    <col min="11008" max="11008" width="46.42578125" bestFit="1" customWidth="1"/>
    <col min="11009" max="11009" width="8.7109375" customWidth="1"/>
    <col min="11010" max="11014" width="14.28515625" customWidth="1"/>
    <col min="11264" max="11264" width="46.42578125" bestFit="1" customWidth="1"/>
    <col min="11265" max="11265" width="8.7109375" customWidth="1"/>
    <col min="11266" max="11270" width="14.28515625" customWidth="1"/>
    <col min="11520" max="11520" width="46.42578125" bestFit="1" customWidth="1"/>
    <col min="11521" max="11521" width="8.7109375" customWidth="1"/>
    <col min="11522" max="11526" width="14.28515625" customWidth="1"/>
    <col min="11776" max="11776" width="46.42578125" bestFit="1" customWidth="1"/>
    <col min="11777" max="11777" width="8.7109375" customWidth="1"/>
    <col min="11778" max="11782" width="14.28515625" customWidth="1"/>
    <col min="12032" max="12032" width="46.42578125" bestFit="1" customWidth="1"/>
    <col min="12033" max="12033" width="8.7109375" customWidth="1"/>
    <col min="12034" max="12038" width="14.28515625" customWidth="1"/>
    <col min="12288" max="12288" width="46.42578125" bestFit="1" customWidth="1"/>
    <col min="12289" max="12289" width="8.7109375" customWidth="1"/>
    <col min="12290" max="12294" width="14.28515625" customWidth="1"/>
    <col min="12544" max="12544" width="46.42578125" bestFit="1" customWidth="1"/>
    <col min="12545" max="12545" width="8.7109375" customWidth="1"/>
    <col min="12546" max="12550" width="14.28515625" customWidth="1"/>
    <col min="12800" max="12800" width="46.42578125" bestFit="1" customWidth="1"/>
    <col min="12801" max="12801" width="8.7109375" customWidth="1"/>
    <col min="12802" max="12806" width="14.28515625" customWidth="1"/>
    <col min="13056" max="13056" width="46.42578125" bestFit="1" customWidth="1"/>
    <col min="13057" max="13057" width="8.7109375" customWidth="1"/>
    <col min="13058" max="13062" width="14.28515625" customWidth="1"/>
    <col min="13312" max="13312" width="46.42578125" bestFit="1" customWidth="1"/>
    <col min="13313" max="13313" width="8.7109375" customWidth="1"/>
    <col min="13314" max="13318" width="14.28515625" customWidth="1"/>
    <col min="13568" max="13568" width="46.42578125" bestFit="1" customWidth="1"/>
    <col min="13569" max="13569" width="8.7109375" customWidth="1"/>
    <col min="13570" max="13574" width="14.28515625" customWidth="1"/>
    <col min="13824" max="13824" width="46.42578125" bestFit="1" customWidth="1"/>
    <col min="13825" max="13825" width="8.7109375" customWidth="1"/>
    <col min="13826" max="13830" width="14.28515625" customWidth="1"/>
    <col min="14080" max="14080" width="46.42578125" bestFit="1" customWidth="1"/>
    <col min="14081" max="14081" width="8.7109375" customWidth="1"/>
    <col min="14082" max="14086" width="14.28515625" customWidth="1"/>
    <col min="14336" max="14336" width="46.42578125" bestFit="1" customWidth="1"/>
    <col min="14337" max="14337" width="8.7109375" customWidth="1"/>
    <col min="14338" max="14342" width="14.28515625" customWidth="1"/>
    <col min="14592" max="14592" width="46.42578125" bestFit="1" customWidth="1"/>
    <col min="14593" max="14593" width="8.7109375" customWidth="1"/>
    <col min="14594" max="14598" width="14.28515625" customWidth="1"/>
    <col min="14848" max="14848" width="46.42578125" bestFit="1" customWidth="1"/>
    <col min="14849" max="14849" width="8.7109375" customWidth="1"/>
    <col min="14850" max="14854" width="14.28515625" customWidth="1"/>
    <col min="15104" max="15104" width="46.42578125" bestFit="1" customWidth="1"/>
    <col min="15105" max="15105" width="8.7109375" customWidth="1"/>
    <col min="15106" max="15110" width="14.28515625" customWidth="1"/>
    <col min="15360" max="15360" width="46.42578125" bestFit="1" customWidth="1"/>
    <col min="15361" max="15361" width="8.7109375" customWidth="1"/>
    <col min="15362" max="15366" width="14.28515625" customWidth="1"/>
    <col min="15616" max="15616" width="46.42578125" bestFit="1" customWidth="1"/>
    <col min="15617" max="15617" width="8.7109375" customWidth="1"/>
    <col min="15618" max="15622" width="14.28515625" customWidth="1"/>
    <col min="15872" max="15872" width="46.42578125" bestFit="1" customWidth="1"/>
    <col min="15873" max="15873" width="8.7109375" customWidth="1"/>
    <col min="15874" max="15878" width="14.28515625" customWidth="1"/>
    <col min="16128" max="16128" width="46.42578125" bestFit="1" customWidth="1"/>
    <col min="16129" max="16129" width="8.7109375" customWidth="1"/>
    <col min="16130" max="16134" width="14.28515625" customWidth="1"/>
  </cols>
  <sheetData>
    <row r="3" spans="1:8" ht="15">
      <c r="A3" s="35" t="s">
        <v>1825</v>
      </c>
      <c r="B3" s="34"/>
      <c r="C3" s="34"/>
      <c r="D3" s="34"/>
      <c r="E3" s="34"/>
      <c r="F3" s="34"/>
    </row>
    <row r="4" spans="1:8" ht="15">
      <c r="A4" s="341" t="s">
        <v>623</v>
      </c>
      <c r="B4" s="341"/>
      <c r="C4" s="341"/>
      <c r="D4" s="341"/>
      <c r="E4" s="341"/>
      <c r="F4" s="341"/>
    </row>
    <row r="5" spans="1:8" ht="15" hidden="1">
      <c r="A5" s="36" t="s">
        <v>54</v>
      </c>
      <c r="B5" s="34"/>
      <c r="C5" s="34"/>
      <c r="D5" s="34"/>
      <c r="E5" s="34"/>
      <c r="F5" s="34"/>
    </row>
    <row r="6" spans="1:8" hidden="1">
      <c r="A6" s="37" t="s">
        <v>54</v>
      </c>
      <c r="B6" s="34"/>
      <c r="C6" s="34"/>
      <c r="D6" s="34"/>
      <c r="E6" s="34"/>
      <c r="F6" s="34"/>
    </row>
    <row r="7" spans="1:8" hidden="1">
      <c r="A7" s="342">
        <v>42460</v>
      </c>
      <c r="B7" s="342"/>
      <c r="C7" s="342"/>
      <c r="D7" s="342"/>
      <c r="E7" s="342"/>
      <c r="F7" s="342"/>
    </row>
    <row r="8" spans="1:8">
      <c r="A8" s="38"/>
      <c r="B8" s="38"/>
      <c r="C8" s="38"/>
      <c r="D8" s="38"/>
      <c r="E8" s="38"/>
      <c r="F8" s="38"/>
    </row>
    <row r="9" spans="1:8" ht="13.5" thickBot="1">
      <c r="C9" s="17" t="s">
        <v>251</v>
      </c>
      <c r="D9" s="17" t="s">
        <v>251</v>
      </c>
      <c r="E9" s="17" t="s">
        <v>251</v>
      </c>
      <c r="F9" s="17" t="s">
        <v>44</v>
      </c>
      <c r="G9" s="248" t="s">
        <v>1701</v>
      </c>
    </row>
    <row r="10" spans="1:8" ht="13.5" thickTop="1">
      <c r="A10" s="39"/>
      <c r="B10" s="40"/>
      <c r="C10" s="41" t="s">
        <v>55</v>
      </c>
      <c r="D10" s="41" t="s">
        <v>55</v>
      </c>
      <c r="E10" s="41" t="s">
        <v>55</v>
      </c>
      <c r="F10" s="41"/>
      <c r="G10" s="61"/>
    </row>
    <row r="11" spans="1:8" ht="13.5" thickBot="1">
      <c r="A11" s="42"/>
      <c r="B11" s="43"/>
      <c r="C11" s="44" t="s">
        <v>58</v>
      </c>
      <c r="D11" s="44" t="s">
        <v>57</v>
      </c>
      <c r="E11" s="44" t="s">
        <v>59</v>
      </c>
      <c r="F11" s="44" t="s">
        <v>57</v>
      </c>
      <c r="G11" s="62" t="s">
        <v>57</v>
      </c>
      <c r="H11" s="55" t="s">
        <v>252</v>
      </c>
    </row>
    <row r="12" spans="1:8" ht="13.5" thickTop="1">
      <c r="A12" s="45" t="s">
        <v>60</v>
      </c>
      <c r="B12" s="46"/>
      <c r="C12" s="47"/>
      <c r="D12" s="47"/>
      <c r="E12" s="47"/>
      <c r="F12" s="47"/>
    </row>
    <row r="13" spans="1:8">
      <c r="A13" s="30" t="s">
        <v>624</v>
      </c>
      <c r="B13" s="30" t="s">
        <v>625</v>
      </c>
      <c r="C13" s="56">
        <v>0</v>
      </c>
      <c r="D13" s="56">
        <v>300000</v>
      </c>
      <c r="E13" s="56">
        <v>300000</v>
      </c>
      <c r="F13" s="56">
        <v>300000</v>
      </c>
      <c r="G13" s="59">
        <f>'Fund Distributions'!K41</f>
        <v>300000</v>
      </c>
      <c r="H13" t="s">
        <v>1070</v>
      </c>
    </row>
    <row r="14" spans="1:8">
      <c r="A14" s="30" t="s">
        <v>626</v>
      </c>
      <c r="B14" s="30" t="s">
        <v>627</v>
      </c>
      <c r="C14" s="56">
        <v>0</v>
      </c>
      <c r="D14" s="56">
        <v>237550</v>
      </c>
      <c r="E14" s="56">
        <v>237550</v>
      </c>
      <c r="F14" s="56">
        <v>233000</v>
      </c>
      <c r="G14" s="59">
        <v>233000</v>
      </c>
      <c r="H14" t="s">
        <v>1688</v>
      </c>
    </row>
    <row r="15" spans="1:8">
      <c r="A15" s="30" t="s">
        <v>628</v>
      </c>
      <c r="B15" s="30" t="s">
        <v>629</v>
      </c>
      <c r="C15" s="56">
        <v>182631.24</v>
      </c>
      <c r="D15" s="56">
        <v>180150</v>
      </c>
      <c r="E15" s="56">
        <v>-2481.2399999999907</v>
      </c>
      <c r="F15" s="56">
        <v>152000</v>
      </c>
      <c r="G15" s="59">
        <f>60000*9</f>
        <v>540000</v>
      </c>
      <c r="H15" t="s">
        <v>1811</v>
      </c>
    </row>
    <row r="16" spans="1:8">
      <c r="A16" s="30" t="s">
        <v>1086</v>
      </c>
      <c r="B16" s="30" t="s">
        <v>630</v>
      </c>
      <c r="C16" s="56">
        <v>0</v>
      </c>
      <c r="D16" s="56">
        <v>16500</v>
      </c>
      <c r="E16" s="56">
        <v>16500</v>
      </c>
      <c r="F16" s="56">
        <v>0</v>
      </c>
      <c r="G16" s="59">
        <v>0</v>
      </c>
    </row>
    <row r="17" spans="1:8">
      <c r="A17" s="30" t="s">
        <v>631</v>
      </c>
      <c r="B17" s="30" t="s">
        <v>632</v>
      </c>
      <c r="C17" s="56">
        <v>0</v>
      </c>
      <c r="D17" s="56">
        <v>7000</v>
      </c>
      <c r="E17" s="56">
        <v>7000</v>
      </c>
      <c r="F17" s="56">
        <v>7000</v>
      </c>
      <c r="G17" s="59">
        <f>3500*5</f>
        <v>17500</v>
      </c>
      <c r="H17" t="s">
        <v>1088</v>
      </c>
    </row>
    <row r="18" spans="1:8">
      <c r="A18" s="30" t="s">
        <v>1512</v>
      </c>
      <c r="B18" s="30" t="s">
        <v>633</v>
      </c>
      <c r="C18" s="56">
        <v>0</v>
      </c>
      <c r="D18" s="56">
        <v>25000</v>
      </c>
      <c r="E18" s="56">
        <v>25000</v>
      </c>
      <c r="F18" s="56">
        <v>25000</v>
      </c>
      <c r="G18" s="264">
        <v>25000</v>
      </c>
      <c r="H18" t="s">
        <v>1719</v>
      </c>
    </row>
    <row r="19" spans="1:8">
      <c r="A19" s="30" t="s">
        <v>634</v>
      </c>
      <c r="B19" s="30" t="s">
        <v>635</v>
      </c>
      <c r="C19" s="56">
        <v>0</v>
      </c>
      <c r="D19" s="56">
        <v>28000</v>
      </c>
      <c r="E19" s="56">
        <v>28000</v>
      </c>
      <c r="F19" s="56">
        <v>14000</v>
      </c>
      <c r="G19" s="59">
        <v>0</v>
      </c>
      <c r="H19" t="s">
        <v>1089</v>
      </c>
    </row>
    <row r="20" spans="1:8">
      <c r="A20" s="30" t="s">
        <v>1718</v>
      </c>
      <c r="B20" s="30"/>
      <c r="C20" s="56"/>
      <c r="D20" s="56"/>
      <c r="E20" s="56"/>
      <c r="F20" s="56"/>
      <c r="G20" s="59">
        <v>25000</v>
      </c>
      <c r="H20" t="s">
        <v>1720</v>
      </c>
    </row>
    <row r="21" spans="1:8">
      <c r="A21" s="49" t="s">
        <v>115</v>
      </c>
      <c r="B21" s="50"/>
      <c r="C21" s="57">
        <v>182631.24</v>
      </c>
      <c r="D21" s="57">
        <v>794200</v>
      </c>
      <c r="E21" s="57">
        <v>611568.76</v>
      </c>
      <c r="F21" s="57">
        <v>731000</v>
      </c>
      <c r="G21" s="75">
        <f>SUM(G13:G20)</f>
        <v>1140500</v>
      </c>
    </row>
    <row r="22" spans="1:8">
      <c r="A22" s="46"/>
      <c r="C22" s="56"/>
      <c r="D22" s="56"/>
      <c r="E22" s="56"/>
      <c r="F22" s="56"/>
    </row>
    <row r="23" spans="1:8">
      <c r="A23" s="45" t="s">
        <v>116</v>
      </c>
      <c r="C23" s="56"/>
      <c r="D23" s="56"/>
      <c r="E23" s="56"/>
      <c r="F23" s="56"/>
    </row>
    <row r="24" spans="1:8">
      <c r="A24" s="30" t="s">
        <v>636</v>
      </c>
      <c r="B24" s="30" t="s">
        <v>637</v>
      </c>
      <c r="C24" s="56">
        <v>21833.25</v>
      </c>
      <c r="D24" s="56">
        <v>50721</v>
      </c>
      <c r="E24" s="56">
        <v>28887.75</v>
      </c>
      <c r="F24" s="56">
        <v>42900</v>
      </c>
      <c r="G24" s="63">
        <v>41009.1</v>
      </c>
    </row>
    <row r="25" spans="1:8">
      <c r="A25" s="30" t="s">
        <v>638</v>
      </c>
      <c r="B25" s="30" t="s">
        <v>639</v>
      </c>
      <c r="C25" s="56">
        <v>20203.8</v>
      </c>
      <c r="D25" s="56">
        <v>25875.200000000001</v>
      </c>
      <c r="E25" s="56">
        <v>5671.4000000000015</v>
      </c>
      <c r="F25" s="56">
        <v>20000</v>
      </c>
      <c r="G25" s="63">
        <v>27580.799999999999</v>
      </c>
    </row>
    <row r="26" spans="1:8">
      <c r="A26" s="30" t="s">
        <v>640</v>
      </c>
      <c r="B26" s="30" t="s">
        <v>641</v>
      </c>
      <c r="C26" s="56">
        <v>36739.56</v>
      </c>
      <c r="D26" s="56">
        <v>0</v>
      </c>
      <c r="E26" s="56">
        <v>-36739.56</v>
      </c>
      <c r="F26" s="56">
        <v>0</v>
      </c>
      <c r="G26" s="59">
        <v>0</v>
      </c>
    </row>
    <row r="27" spans="1:8">
      <c r="A27" s="30" t="s">
        <v>642</v>
      </c>
      <c r="B27" s="30" t="s">
        <v>643</v>
      </c>
      <c r="C27" s="56">
        <v>0</v>
      </c>
      <c r="D27" s="56">
        <v>16000</v>
      </c>
      <c r="E27" s="56">
        <v>16000</v>
      </c>
      <c r="F27" s="56">
        <v>14820</v>
      </c>
      <c r="G27" s="59">
        <v>15343.15</v>
      </c>
    </row>
    <row r="28" spans="1:8">
      <c r="A28" s="30" t="s">
        <v>644</v>
      </c>
      <c r="B28" s="30" t="s">
        <v>645</v>
      </c>
      <c r="C28" s="56">
        <v>0</v>
      </c>
      <c r="D28" s="56">
        <v>6500</v>
      </c>
      <c r="E28" s="56">
        <v>6500</v>
      </c>
      <c r="F28" s="56">
        <v>6500</v>
      </c>
      <c r="G28" s="59">
        <f>F28</f>
        <v>6500</v>
      </c>
    </row>
    <row r="29" spans="1:8">
      <c r="A29" s="30" t="s">
        <v>646</v>
      </c>
      <c r="B29" s="30" t="s">
        <v>647</v>
      </c>
      <c r="C29" s="56">
        <v>1563.05</v>
      </c>
      <c r="D29" s="56">
        <v>0</v>
      </c>
      <c r="E29" s="56">
        <v>-1563.05</v>
      </c>
      <c r="F29" s="56">
        <v>2084.0666666666666</v>
      </c>
      <c r="G29" s="59">
        <f>C29/9*12</f>
        <v>2084.0666666666666</v>
      </c>
    </row>
    <row r="30" spans="1:8">
      <c r="A30" s="30" t="s">
        <v>648</v>
      </c>
      <c r="B30" s="30" t="s">
        <v>649</v>
      </c>
      <c r="C30" s="56">
        <v>995.2</v>
      </c>
      <c r="D30" s="56">
        <v>0</v>
      </c>
      <c r="E30" s="56">
        <v>-995.2</v>
      </c>
      <c r="F30" s="56">
        <v>1326.9333333333334</v>
      </c>
      <c r="G30" s="59">
        <f>C30/9*12</f>
        <v>1326.9333333333334</v>
      </c>
    </row>
    <row r="31" spans="1:8">
      <c r="A31" s="30" t="s">
        <v>650</v>
      </c>
      <c r="B31" s="30" t="s">
        <v>651</v>
      </c>
      <c r="C31" s="56">
        <v>19412.62</v>
      </c>
      <c r="D31" s="56">
        <v>17500</v>
      </c>
      <c r="E31" s="56">
        <v>-1912.619999999999</v>
      </c>
      <c r="F31" s="56">
        <v>17500</v>
      </c>
      <c r="G31" s="59">
        <f>F31</f>
        <v>17500</v>
      </c>
    </row>
    <row r="32" spans="1:8">
      <c r="A32" s="30" t="s">
        <v>1090</v>
      </c>
      <c r="B32" s="30" t="s">
        <v>657</v>
      </c>
      <c r="C32" s="56"/>
      <c r="D32" s="56"/>
      <c r="E32" s="56"/>
      <c r="F32" s="56">
        <v>18000</v>
      </c>
      <c r="G32" s="59">
        <f>300*5*12</f>
        <v>18000</v>
      </c>
      <c r="H32" t="s">
        <v>1072</v>
      </c>
    </row>
    <row r="33" spans="1:8">
      <c r="A33" s="30" t="s">
        <v>652</v>
      </c>
      <c r="B33" s="30" t="s">
        <v>653</v>
      </c>
      <c r="C33" s="56">
        <v>-283.05</v>
      </c>
      <c r="D33" s="56">
        <v>0</v>
      </c>
      <c r="E33" s="56">
        <v>283.05</v>
      </c>
      <c r="F33" s="56">
        <v>0</v>
      </c>
      <c r="G33" s="59">
        <v>0</v>
      </c>
    </row>
    <row r="34" spans="1:8">
      <c r="A34" s="30" t="s">
        <v>654</v>
      </c>
      <c r="B34" s="30" t="s">
        <v>655</v>
      </c>
      <c r="C34" s="56">
        <v>30000.06</v>
      </c>
      <c r="D34" s="56">
        <v>43067</v>
      </c>
      <c r="E34" s="56">
        <v>13066.939999999999</v>
      </c>
      <c r="F34" s="56">
        <v>0</v>
      </c>
      <c r="G34" s="59">
        <v>0</v>
      </c>
    </row>
    <row r="35" spans="1:8">
      <c r="A35" s="30" t="s">
        <v>656</v>
      </c>
      <c r="B35" s="30" t="s">
        <v>657</v>
      </c>
      <c r="C35" s="56">
        <v>3088.91</v>
      </c>
      <c r="D35" s="56">
        <v>4000</v>
      </c>
      <c r="E35" s="56">
        <v>911.09000000000015</v>
      </c>
      <c r="F35" s="56">
        <v>6090</v>
      </c>
      <c r="G35" s="59">
        <f>'LTD Summary'!E5</f>
        <v>4200</v>
      </c>
      <c r="H35" t="s">
        <v>1055</v>
      </c>
    </row>
    <row r="36" spans="1:8">
      <c r="A36" s="30" t="s">
        <v>658</v>
      </c>
      <c r="B36" s="30" t="s">
        <v>659</v>
      </c>
      <c r="C36" s="56">
        <v>12751.33</v>
      </c>
      <c r="D36" s="56">
        <v>7000</v>
      </c>
      <c r="E36" s="56">
        <v>-5751.33</v>
      </c>
      <c r="F36" s="56">
        <v>10000</v>
      </c>
      <c r="G36" s="59">
        <v>10000</v>
      </c>
    </row>
    <row r="37" spans="1:8">
      <c r="A37" s="30" t="s">
        <v>195</v>
      </c>
      <c r="B37" s="30" t="s">
        <v>660</v>
      </c>
      <c r="C37" s="56">
        <v>-353</v>
      </c>
      <c r="D37" s="56">
        <v>0</v>
      </c>
      <c r="E37" s="56">
        <v>353</v>
      </c>
      <c r="F37" s="56">
        <v>0</v>
      </c>
      <c r="G37" s="59">
        <v>0</v>
      </c>
    </row>
    <row r="38" spans="1:8">
      <c r="A38" s="30" t="s">
        <v>661</v>
      </c>
      <c r="B38" s="30" t="s">
        <v>662</v>
      </c>
      <c r="C38" s="56">
        <v>12715.2</v>
      </c>
      <c r="D38" s="56">
        <v>50000</v>
      </c>
      <c r="E38" s="56">
        <v>37284.800000000003</v>
      </c>
      <c r="F38" s="56">
        <v>50000</v>
      </c>
      <c r="G38" s="59">
        <v>50000</v>
      </c>
      <c r="H38" t="s">
        <v>1091</v>
      </c>
    </row>
    <row r="39" spans="1:8">
      <c r="A39" s="30" t="s">
        <v>663</v>
      </c>
      <c r="B39" s="30" t="s">
        <v>664</v>
      </c>
      <c r="C39" s="56">
        <v>78469.41</v>
      </c>
      <c r="D39" s="56">
        <v>200000</v>
      </c>
      <c r="E39" s="56">
        <v>121530.59</v>
      </c>
      <c r="F39" s="56">
        <v>233000</v>
      </c>
      <c r="G39" s="59">
        <f>G14</f>
        <v>233000</v>
      </c>
      <c r="H39" t="s">
        <v>1092</v>
      </c>
    </row>
    <row r="40" spans="1:8">
      <c r="A40" s="30" t="s">
        <v>665</v>
      </c>
      <c r="B40" s="30" t="s">
        <v>666</v>
      </c>
      <c r="C40" s="56">
        <v>235155.33</v>
      </c>
      <c r="D40" s="56">
        <v>100000</v>
      </c>
      <c r="E40" s="56">
        <v>-135155.32999999999</v>
      </c>
      <c r="F40" s="56">
        <v>100000</v>
      </c>
      <c r="G40" s="59">
        <f>F40</f>
        <v>100000</v>
      </c>
    </row>
    <row r="41" spans="1:8">
      <c r="A41" s="30" t="s">
        <v>667</v>
      </c>
      <c r="B41" s="30" t="s">
        <v>668</v>
      </c>
      <c r="C41" s="56">
        <v>6000</v>
      </c>
      <c r="D41" s="56">
        <v>7800</v>
      </c>
      <c r="E41" s="56">
        <v>1800</v>
      </c>
      <c r="F41" s="56">
        <v>0</v>
      </c>
      <c r="G41" s="59">
        <v>0</v>
      </c>
    </row>
    <row r="42" spans="1:8">
      <c r="A42" s="30" t="s">
        <v>669</v>
      </c>
      <c r="B42" s="30" t="s">
        <v>670</v>
      </c>
      <c r="C42" s="56">
        <v>1500</v>
      </c>
      <c r="D42" s="56">
        <v>0</v>
      </c>
      <c r="E42" s="56">
        <v>-1500</v>
      </c>
      <c r="F42" s="56">
        <v>0</v>
      </c>
      <c r="G42" s="59">
        <v>34000</v>
      </c>
    </row>
    <row r="43" spans="1:8">
      <c r="A43" s="30" t="s">
        <v>671</v>
      </c>
      <c r="B43" s="30" t="s">
        <v>672</v>
      </c>
      <c r="C43" s="56">
        <v>40977.78</v>
      </c>
      <c r="D43" s="56">
        <v>50000</v>
      </c>
      <c r="E43" s="56">
        <v>9022.2200000000012</v>
      </c>
      <c r="F43" s="56">
        <v>50000</v>
      </c>
      <c r="G43" s="59">
        <f>F43</f>
        <v>50000</v>
      </c>
    </row>
    <row r="44" spans="1:8">
      <c r="A44" s="30" t="s">
        <v>673</v>
      </c>
      <c r="B44" s="30" t="s">
        <v>674</v>
      </c>
      <c r="C44" s="56">
        <v>26650.6</v>
      </c>
      <c r="D44" s="56">
        <v>0</v>
      </c>
      <c r="E44" s="56">
        <v>-26650.6</v>
      </c>
      <c r="F44" s="56">
        <v>50000</v>
      </c>
      <c r="G44" s="59">
        <f>50000</f>
        <v>50000</v>
      </c>
    </row>
    <row r="45" spans="1:8">
      <c r="A45" s="30" t="s">
        <v>675</v>
      </c>
      <c r="B45" s="30" t="s">
        <v>676</v>
      </c>
      <c r="C45" s="56">
        <v>128611.56</v>
      </c>
      <c r="D45" s="56">
        <v>180150</v>
      </c>
      <c r="E45" s="56">
        <v>51538.44</v>
      </c>
      <c r="F45" s="56">
        <v>152000</v>
      </c>
      <c r="G45" s="59">
        <f>G15</f>
        <v>540000</v>
      </c>
    </row>
    <row r="46" spans="1:8">
      <c r="A46" s="30" t="s">
        <v>1840</v>
      </c>
      <c r="B46" s="30" t="s">
        <v>677</v>
      </c>
      <c r="C46" s="56">
        <v>0</v>
      </c>
      <c r="D46" s="56">
        <v>82575</v>
      </c>
      <c r="E46" s="56">
        <v>82575</v>
      </c>
      <c r="F46" s="56">
        <v>62500</v>
      </c>
      <c r="G46" s="59">
        <v>0</v>
      </c>
    </row>
    <row r="47" spans="1:8">
      <c r="A47" s="30" t="s">
        <v>678</v>
      </c>
      <c r="B47" s="30" t="s">
        <v>679</v>
      </c>
      <c r="C47" s="56">
        <v>0</v>
      </c>
      <c r="D47" s="56">
        <v>7000</v>
      </c>
      <c r="E47" s="56">
        <v>7000</v>
      </c>
      <c r="F47" s="56">
        <v>7000</v>
      </c>
      <c r="G47" s="59">
        <f>G17</f>
        <v>17500</v>
      </c>
    </row>
    <row r="48" spans="1:8">
      <c r="A48" s="30" t="s">
        <v>1841</v>
      </c>
      <c r="B48" s="30" t="s">
        <v>680</v>
      </c>
      <c r="C48" s="56">
        <v>0</v>
      </c>
      <c r="D48" s="56">
        <v>7000</v>
      </c>
      <c r="E48" s="56">
        <v>7000</v>
      </c>
      <c r="F48" s="56">
        <v>7000</v>
      </c>
      <c r="G48" s="59">
        <f>G47</f>
        <v>17500</v>
      </c>
    </row>
    <row r="49" spans="1:8">
      <c r="A49" s="30" t="s">
        <v>681</v>
      </c>
      <c r="B49" s="30" t="s">
        <v>682</v>
      </c>
      <c r="C49" s="56">
        <v>0</v>
      </c>
      <c r="D49" s="56">
        <v>34715</v>
      </c>
      <c r="E49" s="56">
        <v>34715</v>
      </c>
      <c r="F49" s="56">
        <v>34715</v>
      </c>
      <c r="G49" s="264">
        <f>20000*3</f>
        <v>60000</v>
      </c>
      <c r="H49" t="s">
        <v>1721</v>
      </c>
    </row>
    <row r="50" spans="1:8">
      <c r="A50" s="30" t="s">
        <v>683</v>
      </c>
      <c r="B50" s="30" t="s">
        <v>684</v>
      </c>
      <c r="C50" s="56">
        <v>0</v>
      </c>
      <c r="D50" s="56">
        <v>20000</v>
      </c>
      <c r="E50" s="56">
        <v>20000</v>
      </c>
      <c r="F50" s="56">
        <v>25000</v>
      </c>
      <c r="G50" s="264">
        <f>G18</f>
        <v>25000</v>
      </c>
    </row>
    <row r="51" spans="1:8">
      <c r="A51" s="30" t="s">
        <v>1093</v>
      </c>
      <c r="B51" s="30"/>
      <c r="C51" s="56"/>
      <c r="D51" s="56"/>
      <c r="E51" s="56"/>
      <c r="F51" s="56">
        <v>10000</v>
      </c>
      <c r="G51" s="59">
        <v>5000</v>
      </c>
    </row>
    <row r="52" spans="1:8">
      <c r="A52" s="30" t="s">
        <v>685</v>
      </c>
      <c r="B52" s="30" t="s">
        <v>686</v>
      </c>
      <c r="C52" s="56">
        <v>0</v>
      </c>
      <c r="D52" s="56">
        <v>7500</v>
      </c>
      <c r="E52" s="56">
        <v>7500</v>
      </c>
      <c r="F52" s="56">
        <v>7500</v>
      </c>
      <c r="G52" s="264">
        <f>F52</f>
        <v>7500</v>
      </c>
    </row>
    <row r="53" spans="1:8">
      <c r="C53" s="56"/>
      <c r="D53" s="56"/>
      <c r="E53" s="56"/>
      <c r="F53" s="56"/>
    </row>
    <row r="54" spans="1:8">
      <c r="A54" s="49" t="s">
        <v>249</v>
      </c>
      <c r="B54" s="52"/>
      <c r="C54" s="57">
        <v>676031.60999999987</v>
      </c>
      <c r="D54" s="57">
        <v>917403.2</v>
      </c>
      <c r="E54" s="57">
        <v>241371.59</v>
      </c>
      <c r="F54" s="57">
        <v>927936</v>
      </c>
      <c r="G54" s="75">
        <f>SUM(G24:G52)</f>
        <v>1333044.05</v>
      </c>
    </row>
    <row r="55" spans="1:8">
      <c r="C55" s="56"/>
      <c r="D55" s="56"/>
      <c r="E55" s="56"/>
      <c r="F55" s="56"/>
    </row>
    <row r="56" spans="1:8" ht="13.5" thickBot="1">
      <c r="A56" s="43" t="s">
        <v>250</v>
      </c>
      <c r="B56" s="53"/>
      <c r="C56" s="54">
        <v>-493400.36999999988</v>
      </c>
      <c r="D56" s="54">
        <v>-123203.19999999995</v>
      </c>
      <c r="E56" s="54">
        <v>370197.17000000004</v>
      </c>
      <c r="F56" s="54">
        <v>-196936</v>
      </c>
      <c r="G56" s="73">
        <f>G21-G54</f>
        <v>-192544.05000000005</v>
      </c>
    </row>
    <row r="57" spans="1:8" ht="13.5" thickTop="1"/>
  </sheetData>
  <mergeCells count="2">
    <mergeCell ref="A4:F4"/>
    <mergeCell ref="A7:F7"/>
  </mergeCells>
  <pageMargins left="0.7" right="0.7" top="0.75" bottom="0.75" header="0.3" footer="0.3"/>
  <pageSetup orientation="landscape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0"/>
  <sheetViews>
    <sheetView zoomScale="150" zoomScaleNormal="150" workbookViewId="0">
      <selection activeCell="A17" sqref="A17"/>
    </sheetView>
  </sheetViews>
  <sheetFormatPr defaultRowHeight="12.75"/>
  <cols>
    <col min="1" max="1" width="46.42578125" bestFit="1" customWidth="1"/>
    <col min="2" max="2" width="8.7109375" customWidth="1"/>
    <col min="3" max="5" width="14.28515625" hidden="1" customWidth="1"/>
    <col min="6" max="6" width="14.28515625" customWidth="1"/>
    <col min="7" max="7" width="8.7109375" style="59"/>
    <col min="8" max="8" width="24.28515625" bestFit="1" customWidth="1"/>
    <col min="256" max="256" width="46.42578125" bestFit="1" customWidth="1"/>
    <col min="257" max="257" width="8.7109375" customWidth="1"/>
    <col min="258" max="262" width="14.28515625" customWidth="1"/>
    <col min="512" max="512" width="46.42578125" bestFit="1" customWidth="1"/>
    <col min="513" max="513" width="8.7109375" customWidth="1"/>
    <col min="514" max="518" width="14.28515625" customWidth="1"/>
    <col min="768" max="768" width="46.42578125" bestFit="1" customWidth="1"/>
    <col min="769" max="769" width="8.7109375" customWidth="1"/>
    <col min="770" max="774" width="14.28515625" customWidth="1"/>
    <col min="1024" max="1024" width="46.42578125" bestFit="1" customWidth="1"/>
    <col min="1025" max="1025" width="8.7109375" customWidth="1"/>
    <col min="1026" max="1030" width="14.28515625" customWidth="1"/>
    <col min="1280" max="1280" width="46.42578125" bestFit="1" customWidth="1"/>
    <col min="1281" max="1281" width="8.7109375" customWidth="1"/>
    <col min="1282" max="1286" width="14.28515625" customWidth="1"/>
    <col min="1536" max="1536" width="46.42578125" bestFit="1" customWidth="1"/>
    <col min="1537" max="1537" width="8.7109375" customWidth="1"/>
    <col min="1538" max="1542" width="14.28515625" customWidth="1"/>
    <col min="1792" max="1792" width="46.42578125" bestFit="1" customWidth="1"/>
    <col min="1793" max="1793" width="8.7109375" customWidth="1"/>
    <col min="1794" max="1798" width="14.28515625" customWidth="1"/>
    <col min="2048" max="2048" width="46.42578125" bestFit="1" customWidth="1"/>
    <col min="2049" max="2049" width="8.7109375" customWidth="1"/>
    <col min="2050" max="2054" width="14.28515625" customWidth="1"/>
    <col min="2304" max="2304" width="46.42578125" bestFit="1" customWidth="1"/>
    <col min="2305" max="2305" width="8.7109375" customWidth="1"/>
    <col min="2306" max="2310" width="14.28515625" customWidth="1"/>
    <col min="2560" max="2560" width="46.42578125" bestFit="1" customWidth="1"/>
    <col min="2561" max="2561" width="8.7109375" customWidth="1"/>
    <col min="2562" max="2566" width="14.28515625" customWidth="1"/>
    <col min="2816" max="2816" width="46.42578125" bestFit="1" customWidth="1"/>
    <col min="2817" max="2817" width="8.7109375" customWidth="1"/>
    <col min="2818" max="2822" width="14.28515625" customWidth="1"/>
    <col min="3072" max="3072" width="46.42578125" bestFit="1" customWidth="1"/>
    <col min="3073" max="3073" width="8.7109375" customWidth="1"/>
    <col min="3074" max="3078" width="14.28515625" customWidth="1"/>
    <col min="3328" max="3328" width="46.42578125" bestFit="1" customWidth="1"/>
    <col min="3329" max="3329" width="8.7109375" customWidth="1"/>
    <col min="3330" max="3334" width="14.28515625" customWidth="1"/>
    <col min="3584" max="3584" width="46.42578125" bestFit="1" customWidth="1"/>
    <col min="3585" max="3585" width="8.7109375" customWidth="1"/>
    <col min="3586" max="3590" width="14.28515625" customWidth="1"/>
    <col min="3840" max="3840" width="46.42578125" bestFit="1" customWidth="1"/>
    <col min="3841" max="3841" width="8.7109375" customWidth="1"/>
    <col min="3842" max="3846" width="14.28515625" customWidth="1"/>
    <col min="4096" max="4096" width="46.42578125" bestFit="1" customWidth="1"/>
    <col min="4097" max="4097" width="8.7109375" customWidth="1"/>
    <col min="4098" max="4102" width="14.28515625" customWidth="1"/>
    <col min="4352" max="4352" width="46.42578125" bestFit="1" customWidth="1"/>
    <col min="4353" max="4353" width="8.7109375" customWidth="1"/>
    <col min="4354" max="4358" width="14.28515625" customWidth="1"/>
    <col min="4608" max="4608" width="46.42578125" bestFit="1" customWidth="1"/>
    <col min="4609" max="4609" width="8.7109375" customWidth="1"/>
    <col min="4610" max="4614" width="14.28515625" customWidth="1"/>
    <col min="4864" max="4864" width="46.42578125" bestFit="1" customWidth="1"/>
    <col min="4865" max="4865" width="8.7109375" customWidth="1"/>
    <col min="4866" max="4870" width="14.28515625" customWidth="1"/>
    <col min="5120" max="5120" width="46.42578125" bestFit="1" customWidth="1"/>
    <col min="5121" max="5121" width="8.7109375" customWidth="1"/>
    <col min="5122" max="5126" width="14.28515625" customWidth="1"/>
    <col min="5376" max="5376" width="46.42578125" bestFit="1" customWidth="1"/>
    <col min="5377" max="5377" width="8.7109375" customWidth="1"/>
    <col min="5378" max="5382" width="14.28515625" customWidth="1"/>
    <col min="5632" max="5632" width="46.42578125" bestFit="1" customWidth="1"/>
    <col min="5633" max="5633" width="8.7109375" customWidth="1"/>
    <col min="5634" max="5638" width="14.28515625" customWidth="1"/>
    <col min="5888" max="5888" width="46.42578125" bestFit="1" customWidth="1"/>
    <col min="5889" max="5889" width="8.7109375" customWidth="1"/>
    <col min="5890" max="5894" width="14.28515625" customWidth="1"/>
    <col min="6144" max="6144" width="46.42578125" bestFit="1" customWidth="1"/>
    <col min="6145" max="6145" width="8.7109375" customWidth="1"/>
    <col min="6146" max="6150" width="14.28515625" customWidth="1"/>
    <col min="6400" max="6400" width="46.42578125" bestFit="1" customWidth="1"/>
    <col min="6401" max="6401" width="8.7109375" customWidth="1"/>
    <col min="6402" max="6406" width="14.28515625" customWidth="1"/>
    <col min="6656" max="6656" width="46.42578125" bestFit="1" customWidth="1"/>
    <col min="6657" max="6657" width="8.7109375" customWidth="1"/>
    <col min="6658" max="6662" width="14.28515625" customWidth="1"/>
    <col min="6912" max="6912" width="46.42578125" bestFit="1" customWidth="1"/>
    <col min="6913" max="6913" width="8.7109375" customWidth="1"/>
    <col min="6914" max="6918" width="14.28515625" customWidth="1"/>
    <col min="7168" max="7168" width="46.42578125" bestFit="1" customWidth="1"/>
    <col min="7169" max="7169" width="8.7109375" customWidth="1"/>
    <col min="7170" max="7174" width="14.28515625" customWidth="1"/>
    <col min="7424" max="7424" width="46.42578125" bestFit="1" customWidth="1"/>
    <col min="7425" max="7425" width="8.7109375" customWidth="1"/>
    <col min="7426" max="7430" width="14.28515625" customWidth="1"/>
    <col min="7680" max="7680" width="46.42578125" bestFit="1" customWidth="1"/>
    <col min="7681" max="7681" width="8.7109375" customWidth="1"/>
    <col min="7682" max="7686" width="14.28515625" customWidth="1"/>
    <col min="7936" max="7936" width="46.42578125" bestFit="1" customWidth="1"/>
    <col min="7937" max="7937" width="8.7109375" customWidth="1"/>
    <col min="7938" max="7942" width="14.28515625" customWidth="1"/>
    <col min="8192" max="8192" width="46.42578125" bestFit="1" customWidth="1"/>
    <col min="8193" max="8193" width="8.7109375" customWidth="1"/>
    <col min="8194" max="8198" width="14.28515625" customWidth="1"/>
    <col min="8448" max="8448" width="46.42578125" bestFit="1" customWidth="1"/>
    <col min="8449" max="8449" width="8.7109375" customWidth="1"/>
    <col min="8450" max="8454" width="14.28515625" customWidth="1"/>
    <col min="8704" max="8704" width="46.42578125" bestFit="1" customWidth="1"/>
    <col min="8705" max="8705" width="8.7109375" customWidth="1"/>
    <col min="8706" max="8710" width="14.28515625" customWidth="1"/>
    <col min="8960" max="8960" width="46.42578125" bestFit="1" customWidth="1"/>
    <col min="8961" max="8961" width="8.7109375" customWidth="1"/>
    <col min="8962" max="8966" width="14.28515625" customWidth="1"/>
    <col min="9216" max="9216" width="46.42578125" bestFit="1" customWidth="1"/>
    <col min="9217" max="9217" width="8.7109375" customWidth="1"/>
    <col min="9218" max="9222" width="14.28515625" customWidth="1"/>
    <col min="9472" max="9472" width="46.42578125" bestFit="1" customWidth="1"/>
    <col min="9473" max="9473" width="8.7109375" customWidth="1"/>
    <col min="9474" max="9478" width="14.28515625" customWidth="1"/>
    <col min="9728" max="9728" width="46.42578125" bestFit="1" customWidth="1"/>
    <col min="9729" max="9729" width="8.7109375" customWidth="1"/>
    <col min="9730" max="9734" width="14.28515625" customWidth="1"/>
    <col min="9984" max="9984" width="46.42578125" bestFit="1" customWidth="1"/>
    <col min="9985" max="9985" width="8.7109375" customWidth="1"/>
    <col min="9986" max="9990" width="14.28515625" customWidth="1"/>
    <col min="10240" max="10240" width="46.42578125" bestFit="1" customWidth="1"/>
    <col min="10241" max="10241" width="8.7109375" customWidth="1"/>
    <col min="10242" max="10246" width="14.28515625" customWidth="1"/>
    <col min="10496" max="10496" width="46.42578125" bestFit="1" customWidth="1"/>
    <col min="10497" max="10497" width="8.7109375" customWidth="1"/>
    <col min="10498" max="10502" width="14.28515625" customWidth="1"/>
    <col min="10752" max="10752" width="46.42578125" bestFit="1" customWidth="1"/>
    <col min="10753" max="10753" width="8.7109375" customWidth="1"/>
    <col min="10754" max="10758" width="14.28515625" customWidth="1"/>
    <col min="11008" max="11008" width="46.42578125" bestFit="1" customWidth="1"/>
    <col min="11009" max="11009" width="8.7109375" customWidth="1"/>
    <col min="11010" max="11014" width="14.28515625" customWidth="1"/>
    <col min="11264" max="11264" width="46.42578125" bestFit="1" customWidth="1"/>
    <col min="11265" max="11265" width="8.7109375" customWidth="1"/>
    <col min="11266" max="11270" width="14.28515625" customWidth="1"/>
    <col min="11520" max="11520" width="46.42578125" bestFit="1" customWidth="1"/>
    <col min="11521" max="11521" width="8.7109375" customWidth="1"/>
    <col min="11522" max="11526" width="14.28515625" customWidth="1"/>
    <col min="11776" max="11776" width="46.42578125" bestFit="1" customWidth="1"/>
    <col min="11777" max="11777" width="8.7109375" customWidth="1"/>
    <col min="11778" max="11782" width="14.28515625" customWidth="1"/>
    <col min="12032" max="12032" width="46.42578125" bestFit="1" customWidth="1"/>
    <col min="12033" max="12033" width="8.7109375" customWidth="1"/>
    <col min="12034" max="12038" width="14.28515625" customWidth="1"/>
    <col min="12288" max="12288" width="46.42578125" bestFit="1" customWidth="1"/>
    <col min="12289" max="12289" width="8.7109375" customWidth="1"/>
    <col min="12290" max="12294" width="14.28515625" customWidth="1"/>
    <col min="12544" max="12544" width="46.42578125" bestFit="1" customWidth="1"/>
    <col min="12545" max="12545" width="8.7109375" customWidth="1"/>
    <col min="12546" max="12550" width="14.28515625" customWidth="1"/>
    <col min="12800" max="12800" width="46.42578125" bestFit="1" customWidth="1"/>
    <col min="12801" max="12801" width="8.7109375" customWidth="1"/>
    <col min="12802" max="12806" width="14.28515625" customWidth="1"/>
    <col min="13056" max="13056" width="46.42578125" bestFit="1" customWidth="1"/>
    <col min="13057" max="13057" width="8.7109375" customWidth="1"/>
    <col min="13058" max="13062" width="14.28515625" customWidth="1"/>
    <col min="13312" max="13312" width="46.42578125" bestFit="1" customWidth="1"/>
    <col min="13313" max="13313" width="8.7109375" customWidth="1"/>
    <col min="13314" max="13318" width="14.28515625" customWidth="1"/>
    <col min="13568" max="13568" width="46.42578125" bestFit="1" customWidth="1"/>
    <col min="13569" max="13569" width="8.7109375" customWidth="1"/>
    <col min="13570" max="13574" width="14.28515625" customWidth="1"/>
    <col min="13824" max="13824" width="46.42578125" bestFit="1" customWidth="1"/>
    <col min="13825" max="13825" width="8.7109375" customWidth="1"/>
    <col min="13826" max="13830" width="14.28515625" customWidth="1"/>
    <col min="14080" max="14080" width="46.42578125" bestFit="1" customWidth="1"/>
    <col min="14081" max="14081" width="8.7109375" customWidth="1"/>
    <col min="14082" max="14086" width="14.28515625" customWidth="1"/>
    <col min="14336" max="14336" width="46.42578125" bestFit="1" customWidth="1"/>
    <col min="14337" max="14337" width="8.7109375" customWidth="1"/>
    <col min="14338" max="14342" width="14.28515625" customWidth="1"/>
    <col min="14592" max="14592" width="46.42578125" bestFit="1" customWidth="1"/>
    <col min="14593" max="14593" width="8.7109375" customWidth="1"/>
    <col min="14594" max="14598" width="14.28515625" customWidth="1"/>
    <col min="14848" max="14848" width="46.42578125" bestFit="1" customWidth="1"/>
    <col min="14849" max="14849" width="8.7109375" customWidth="1"/>
    <col min="14850" max="14854" width="14.28515625" customWidth="1"/>
    <col min="15104" max="15104" width="46.42578125" bestFit="1" customWidth="1"/>
    <col min="15105" max="15105" width="8.7109375" customWidth="1"/>
    <col min="15106" max="15110" width="14.28515625" customWidth="1"/>
    <col min="15360" max="15360" width="46.42578125" bestFit="1" customWidth="1"/>
    <col min="15361" max="15361" width="8.7109375" customWidth="1"/>
    <col min="15362" max="15366" width="14.28515625" customWidth="1"/>
    <col min="15616" max="15616" width="46.42578125" bestFit="1" customWidth="1"/>
    <col min="15617" max="15617" width="8.7109375" customWidth="1"/>
    <col min="15618" max="15622" width="14.28515625" customWidth="1"/>
    <col min="15872" max="15872" width="46.42578125" bestFit="1" customWidth="1"/>
    <col min="15873" max="15873" width="8.7109375" customWidth="1"/>
    <col min="15874" max="15878" width="14.28515625" customWidth="1"/>
    <col min="16128" max="16128" width="46.42578125" bestFit="1" customWidth="1"/>
    <col min="16129" max="16129" width="8.7109375" customWidth="1"/>
    <col min="16130" max="16134" width="14.28515625" customWidth="1"/>
  </cols>
  <sheetData>
    <row r="3" spans="1:8" ht="15">
      <c r="A3" s="35" t="s">
        <v>1825</v>
      </c>
      <c r="B3" s="34"/>
      <c r="C3" s="34"/>
      <c r="D3" s="34"/>
      <c r="E3" s="34"/>
      <c r="F3" s="34"/>
    </row>
    <row r="4" spans="1:8" ht="15">
      <c r="A4" s="341" t="s">
        <v>687</v>
      </c>
      <c r="B4" s="341"/>
      <c r="C4" s="341"/>
      <c r="D4" s="341"/>
      <c r="E4" s="341"/>
      <c r="F4" s="341"/>
    </row>
    <row r="5" spans="1:8" ht="15" hidden="1">
      <c r="A5" s="36" t="s">
        <v>54</v>
      </c>
      <c r="B5" s="34"/>
      <c r="C5" s="34"/>
      <c r="D5" s="34"/>
      <c r="E5" s="34"/>
      <c r="F5" s="34"/>
    </row>
    <row r="6" spans="1:8" hidden="1">
      <c r="A6" s="37" t="s">
        <v>54</v>
      </c>
      <c r="B6" s="34"/>
      <c r="C6" s="34"/>
      <c r="D6" s="34"/>
      <c r="E6" s="34"/>
      <c r="F6" s="34"/>
    </row>
    <row r="7" spans="1:8" hidden="1">
      <c r="A7" s="342">
        <v>42460</v>
      </c>
      <c r="B7" s="342"/>
      <c r="C7" s="342"/>
      <c r="D7" s="342"/>
      <c r="E7" s="342"/>
      <c r="F7" s="342"/>
    </row>
    <row r="8" spans="1:8">
      <c r="A8" s="38"/>
      <c r="B8" s="38"/>
      <c r="C8" s="38"/>
      <c r="D8" s="38"/>
      <c r="E8" s="38"/>
      <c r="F8" s="38"/>
    </row>
    <row r="9" spans="1:8" ht="13.5" thickBot="1">
      <c r="C9" s="17" t="s">
        <v>251</v>
      </c>
      <c r="D9" s="17" t="s">
        <v>251</v>
      </c>
      <c r="E9" s="17" t="s">
        <v>251</v>
      </c>
      <c r="F9" s="17" t="s">
        <v>44</v>
      </c>
      <c r="G9" s="248" t="s">
        <v>1701</v>
      </c>
    </row>
    <row r="10" spans="1:8" ht="13.5" thickTop="1">
      <c r="A10" s="39"/>
      <c r="B10" s="40"/>
      <c r="C10" s="41" t="s">
        <v>55</v>
      </c>
      <c r="D10" s="41" t="s">
        <v>55</v>
      </c>
      <c r="E10" s="41" t="s">
        <v>55</v>
      </c>
      <c r="F10" s="41"/>
      <c r="G10" s="61"/>
    </row>
    <row r="11" spans="1:8" ht="13.5" thickBot="1">
      <c r="A11" s="42"/>
      <c r="B11" s="43"/>
      <c r="C11" s="44" t="s">
        <v>58</v>
      </c>
      <c r="D11" s="44" t="s">
        <v>57</v>
      </c>
      <c r="E11" s="44" t="s">
        <v>59</v>
      </c>
      <c r="F11" s="44" t="s">
        <v>57</v>
      </c>
      <c r="G11" s="62" t="s">
        <v>57</v>
      </c>
      <c r="H11" s="55" t="s">
        <v>252</v>
      </c>
    </row>
    <row r="12" spans="1:8" ht="13.5" thickTop="1">
      <c r="A12" s="45" t="s">
        <v>60</v>
      </c>
      <c r="B12" s="46"/>
      <c r="C12" s="47"/>
      <c r="D12" s="47"/>
      <c r="E12" s="47"/>
      <c r="F12" s="47"/>
    </row>
    <row r="13" spans="1:8">
      <c r="A13" s="30" t="s">
        <v>688</v>
      </c>
      <c r="B13" s="30" t="s">
        <v>689</v>
      </c>
      <c r="C13" s="56">
        <v>0</v>
      </c>
      <c r="D13" s="56">
        <v>118975</v>
      </c>
      <c r="E13" s="56">
        <v>118975</v>
      </c>
      <c r="F13" s="56">
        <v>0</v>
      </c>
      <c r="G13" s="59">
        <v>0</v>
      </c>
    </row>
    <row r="14" spans="1:8">
      <c r="A14" s="30" t="s">
        <v>690</v>
      </c>
      <c r="B14" s="30" t="s">
        <v>691</v>
      </c>
      <c r="C14" s="56">
        <v>0</v>
      </c>
      <c r="D14" s="56">
        <v>36000</v>
      </c>
      <c r="E14" s="56">
        <v>36000</v>
      </c>
      <c r="F14" s="56">
        <v>0</v>
      </c>
      <c r="G14" s="59">
        <v>0</v>
      </c>
    </row>
    <row r="15" spans="1:8">
      <c r="A15" s="30" t="s">
        <v>692</v>
      </c>
      <c r="B15" s="30" t="s">
        <v>693</v>
      </c>
      <c r="C15" s="56">
        <v>1369.5</v>
      </c>
      <c r="D15" s="56">
        <v>18000</v>
      </c>
      <c r="E15" s="56">
        <v>16630.5</v>
      </c>
      <c r="F15" s="56">
        <v>18000</v>
      </c>
      <c r="G15" s="59">
        <f>F15</f>
        <v>18000</v>
      </c>
    </row>
    <row r="16" spans="1:8">
      <c r="A16" s="30" t="s">
        <v>1842</v>
      </c>
      <c r="B16" s="30" t="s">
        <v>694</v>
      </c>
      <c r="C16" s="56">
        <v>0</v>
      </c>
      <c r="D16" s="56">
        <v>15000</v>
      </c>
      <c r="E16" s="56">
        <v>15000</v>
      </c>
      <c r="F16" s="56">
        <v>10628</v>
      </c>
      <c r="G16" s="59">
        <f>'Fund Distributions'!K42</f>
        <v>9293</v>
      </c>
    </row>
    <row r="17" spans="1:8">
      <c r="A17" s="30"/>
      <c r="B17" s="30"/>
      <c r="C17" s="56"/>
      <c r="D17" s="56"/>
      <c r="E17" s="56"/>
      <c r="F17" s="56"/>
    </row>
    <row r="18" spans="1:8">
      <c r="A18" s="49" t="s">
        <v>115</v>
      </c>
      <c r="B18" s="50"/>
      <c r="C18" s="57">
        <v>1369.5</v>
      </c>
      <c r="D18" s="57">
        <v>187975</v>
      </c>
      <c r="E18" s="57">
        <v>186605.5</v>
      </c>
      <c r="F18" s="57">
        <v>28628</v>
      </c>
      <c r="G18" s="75">
        <f>SUM(G13:G16)</f>
        <v>27293</v>
      </c>
    </row>
    <row r="19" spans="1:8">
      <c r="A19" s="46"/>
      <c r="C19" s="56"/>
      <c r="D19" s="56"/>
      <c r="E19" s="56"/>
      <c r="F19" s="56"/>
    </row>
    <row r="20" spans="1:8">
      <c r="A20" s="45" t="s">
        <v>116</v>
      </c>
      <c r="C20" s="56"/>
      <c r="D20" s="56"/>
      <c r="E20" s="56"/>
      <c r="F20" s="56"/>
    </row>
    <row r="21" spans="1:8">
      <c r="A21" s="30" t="s">
        <v>695</v>
      </c>
      <c r="B21" s="30" t="s">
        <v>696</v>
      </c>
      <c r="C21" s="56">
        <v>-338.51</v>
      </c>
      <c r="D21" s="56">
        <v>8700</v>
      </c>
      <c r="E21" s="56">
        <v>9038.51</v>
      </c>
      <c r="F21" s="56">
        <v>8700</v>
      </c>
      <c r="G21" s="59">
        <f>F21</f>
        <v>8700</v>
      </c>
    </row>
    <row r="22" spans="1:8">
      <c r="A22" s="30" t="s">
        <v>697</v>
      </c>
      <c r="B22" s="30" t="s">
        <v>698</v>
      </c>
      <c r="C22" s="56">
        <v>0</v>
      </c>
      <c r="D22" s="56">
        <v>7000</v>
      </c>
      <c r="E22" s="56">
        <v>7000</v>
      </c>
      <c r="F22" s="56">
        <v>0</v>
      </c>
      <c r="G22" s="59">
        <v>0</v>
      </c>
    </row>
    <row r="23" spans="1:8">
      <c r="A23" s="30" t="s">
        <v>699</v>
      </c>
      <c r="B23" s="30" t="s">
        <v>700</v>
      </c>
      <c r="C23" s="56">
        <f>D23-40185.62</f>
        <v>13114.379999999997</v>
      </c>
      <c r="D23" s="56">
        <v>53300</v>
      </c>
      <c r="E23" s="56">
        <v>40185.620000000003</v>
      </c>
      <c r="F23" s="56">
        <v>19928.004000000001</v>
      </c>
      <c r="G23" s="59">
        <f>'LTD Summary'!J12+0.18</f>
        <v>18593.100960000003</v>
      </c>
      <c r="H23" t="s">
        <v>1055</v>
      </c>
    </row>
    <row r="24" spans="1:8">
      <c r="A24" s="30" t="s">
        <v>701</v>
      </c>
      <c r="B24" s="30" t="s">
        <v>702</v>
      </c>
      <c r="C24" s="56">
        <v>120380.26</v>
      </c>
      <c r="D24" s="56">
        <v>118975</v>
      </c>
      <c r="E24" s="56">
        <v>-1405.2599999999948</v>
      </c>
      <c r="F24" s="56">
        <v>0</v>
      </c>
      <c r="G24" s="59">
        <v>0</v>
      </c>
    </row>
    <row r="25" spans="1:8">
      <c r="A25" s="30" t="s">
        <v>703</v>
      </c>
      <c r="B25" s="30" t="s">
        <v>704</v>
      </c>
      <c r="C25" s="56">
        <v>75</v>
      </c>
      <c r="D25" s="56">
        <v>0</v>
      </c>
      <c r="E25" s="56">
        <v>-75</v>
      </c>
      <c r="F25" s="56">
        <v>0</v>
      </c>
      <c r="G25" s="59">
        <v>0</v>
      </c>
    </row>
    <row r="26" spans="1:8">
      <c r="C26" s="56"/>
      <c r="D26" s="56"/>
      <c r="E26" s="56"/>
      <c r="F26" s="56"/>
    </row>
    <row r="27" spans="1:8">
      <c r="A27" s="49" t="s">
        <v>249</v>
      </c>
      <c r="B27" s="52"/>
      <c r="C27" s="57">
        <v>133231.13</v>
      </c>
      <c r="D27" s="57">
        <v>187975</v>
      </c>
      <c r="E27" s="57">
        <v>54743.87000000001</v>
      </c>
      <c r="F27" s="57">
        <v>28628.004000000001</v>
      </c>
      <c r="G27" s="75">
        <f>SUM(G21:G25)</f>
        <v>27293.100960000003</v>
      </c>
    </row>
    <row r="28" spans="1:8">
      <c r="C28" s="56"/>
      <c r="D28" s="56"/>
      <c r="E28" s="56"/>
      <c r="F28" s="56"/>
    </row>
    <row r="29" spans="1:8" ht="13.5" thickBot="1">
      <c r="A29" s="43" t="s">
        <v>250</v>
      </c>
      <c r="B29" s="53"/>
      <c r="C29" s="54">
        <v>-131861.63</v>
      </c>
      <c r="D29" s="54">
        <v>0</v>
      </c>
      <c r="E29" s="54">
        <v>131861.63</v>
      </c>
      <c r="F29" s="54">
        <v>-4.0000000008149073E-3</v>
      </c>
      <c r="G29" s="73">
        <f>G18-G27</f>
        <v>-0.100960000003397</v>
      </c>
    </row>
    <row r="30" spans="1:8" ht="13.5" thickTop="1"/>
  </sheetData>
  <mergeCells count="2">
    <mergeCell ref="A4:F4"/>
    <mergeCell ref="A7:F7"/>
  </mergeCells>
  <pageMargins left="0.7" right="0.7" top="0.75" bottom="0.75" header="0.3" footer="0.3"/>
  <pageSetup scale="83" orientation="portrait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7"/>
  <sheetViews>
    <sheetView zoomScale="150" zoomScaleNormal="150" workbookViewId="0">
      <selection activeCell="A4" sqref="A4:F4"/>
    </sheetView>
  </sheetViews>
  <sheetFormatPr defaultRowHeight="12.75"/>
  <cols>
    <col min="1" max="1" width="46.42578125" bestFit="1" customWidth="1"/>
    <col min="2" max="2" width="8.7109375" customWidth="1"/>
    <col min="3" max="5" width="14.28515625" hidden="1" customWidth="1"/>
    <col min="6" max="6" width="14.28515625" customWidth="1"/>
    <col min="7" max="7" width="12.28515625" style="59" customWidth="1"/>
    <col min="8" max="8" width="18.42578125" bestFit="1" customWidth="1"/>
    <col min="256" max="256" width="46.42578125" bestFit="1" customWidth="1"/>
    <col min="257" max="257" width="8.7109375" customWidth="1"/>
    <col min="258" max="262" width="14.28515625" customWidth="1"/>
    <col min="512" max="512" width="46.42578125" bestFit="1" customWidth="1"/>
    <col min="513" max="513" width="8.7109375" customWidth="1"/>
    <col min="514" max="518" width="14.28515625" customWidth="1"/>
    <col min="768" max="768" width="46.42578125" bestFit="1" customWidth="1"/>
    <col min="769" max="769" width="8.7109375" customWidth="1"/>
    <col min="770" max="774" width="14.28515625" customWidth="1"/>
    <col min="1024" max="1024" width="46.42578125" bestFit="1" customWidth="1"/>
    <col min="1025" max="1025" width="8.7109375" customWidth="1"/>
    <col min="1026" max="1030" width="14.28515625" customWidth="1"/>
    <col min="1280" max="1280" width="46.42578125" bestFit="1" customWidth="1"/>
    <col min="1281" max="1281" width="8.7109375" customWidth="1"/>
    <col min="1282" max="1286" width="14.28515625" customWidth="1"/>
    <col min="1536" max="1536" width="46.42578125" bestFit="1" customWidth="1"/>
    <col min="1537" max="1537" width="8.7109375" customWidth="1"/>
    <col min="1538" max="1542" width="14.28515625" customWidth="1"/>
    <col min="1792" max="1792" width="46.42578125" bestFit="1" customWidth="1"/>
    <col min="1793" max="1793" width="8.7109375" customWidth="1"/>
    <col min="1794" max="1798" width="14.28515625" customWidth="1"/>
    <col min="2048" max="2048" width="46.42578125" bestFit="1" customWidth="1"/>
    <col min="2049" max="2049" width="8.7109375" customWidth="1"/>
    <col min="2050" max="2054" width="14.28515625" customWidth="1"/>
    <col min="2304" max="2304" width="46.42578125" bestFit="1" customWidth="1"/>
    <col min="2305" max="2305" width="8.7109375" customWidth="1"/>
    <col min="2306" max="2310" width="14.28515625" customWidth="1"/>
    <col min="2560" max="2560" width="46.42578125" bestFit="1" customWidth="1"/>
    <col min="2561" max="2561" width="8.7109375" customWidth="1"/>
    <col min="2562" max="2566" width="14.28515625" customWidth="1"/>
    <col min="2816" max="2816" width="46.42578125" bestFit="1" customWidth="1"/>
    <col min="2817" max="2817" width="8.7109375" customWidth="1"/>
    <col min="2818" max="2822" width="14.28515625" customWidth="1"/>
    <col min="3072" max="3072" width="46.42578125" bestFit="1" customWidth="1"/>
    <col min="3073" max="3073" width="8.7109375" customWidth="1"/>
    <col min="3074" max="3078" width="14.28515625" customWidth="1"/>
    <col min="3328" max="3328" width="46.42578125" bestFit="1" customWidth="1"/>
    <col min="3329" max="3329" width="8.7109375" customWidth="1"/>
    <col min="3330" max="3334" width="14.28515625" customWidth="1"/>
    <col min="3584" max="3584" width="46.42578125" bestFit="1" customWidth="1"/>
    <col min="3585" max="3585" width="8.7109375" customWidth="1"/>
    <col min="3586" max="3590" width="14.28515625" customWidth="1"/>
    <col min="3840" max="3840" width="46.42578125" bestFit="1" customWidth="1"/>
    <col min="3841" max="3841" width="8.7109375" customWidth="1"/>
    <col min="3842" max="3846" width="14.28515625" customWidth="1"/>
    <col min="4096" max="4096" width="46.42578125" bestFit="1" customWidth="1"/>
    <col min="4097" max="4097" width="8.7109375" customWidth="1"/>
    <col min="4098" max="4102" width="14.28515625" customWidth="1"/>
    <col min="4352" max="4352" width="46.42578125" bestFit="1" customWidth="1"/>
    <col min="4353" max="4353" width="8.7109375" customWidth="1"/>
    <col min="4354" max="4358" width="14.28515625" customWidth="1"/>
    <col min="4608" max="4608" width="46.42578125" bestFit="1" customWidth="1"/>
    <col min="4609" max="4609" width="8.7109375" customWidth="1"/>
    <col min="4610" max="4614" width="14.28515625" customWidth="1"/>
    <col min="4864" max="4864" width="46.42578125" bestFit="1" customWidth="1"/>
    <col min="4865" max="4865" width="8.7109375" customWidth="1"/>
    <col min="4866" max="4870" width="14.28515625" customWidth="1"/>
    <col min="5120" max="5120" width="46.42578125" bestFit="1" customWidth="1"/>
    <col min="5121" max="5121" width="8.7109375" customWidth="1"/>
    <col min="5122" max="5126" width="14.28515625" customWidth="1"/>
    <col min="5376" max="5376" width="46.42578125" bestFit="1" customWidth="1"/>
    <col min="5377" max="5377" width="8.7109375" customWidth="1"/>
    <col min="5378" max="5382" width="14.28515625" customWidth="1"/>
    <col min="5632" max="5632" width="46.42578125" bestFit="1" customWidth="1"/>
    <col min="5633" max="5633" width="8.7109375" customWidth="1"/>
    <col min="5634" max="5638" width="14.28515625" customWidth="1"/>
    <col min="5888" max="5888" width="46.42578125" bestFit="1" customWidth="1"/>
    <col min="5889" max="5889" width="8.7109375" customWidth="1"/>
    <col min="5890" max="5894" width="14.28515625" customWidth="1"/>
    <col min="6144" max="6144" width="46.42578125" bestFit="1" customWidth="1"/>
    <col min="6145" max="6145" width="8.7109375" customWidth="1"/>
    <col min="6146" max="6150" width="14.28515625" customWidth="1"/>
    <col min="6400" max="6400" width="46.42578125" bestFit="1" customWidth="1"/>
    <col min="6401" max="6401" width="8.7109375" customWidth="1"/>
    <col min="6402" max="6406" width="14.28515625" customWidth="1"/>
    <col min="6656" max="6656" width="46.42578125" bestFit="1" customWidth="1"/>
    <col min="6657" max="6657" width="8.7109375" customWidth="1"/>
    <col min="6658" max="6662" width="14.28515625" customWidth="1"/>
    <col min="6912" max="6912" width="46.42578125" bestFit="1" customWidth="1"/>
    <col min="6913" max="6913" width="8.7109375" customWidth="1"/>
    <col min="6914" max="6918" width="14.28515625" customWidth="1"/>
    <col min="7168" max="7168" width="46.42578125" bestFit="1" customWidth="1"/>
    <col min="7169" max="7169" width="8.7109375" customWidth="1"/>
    <col min="7170" max="7174" width="14.28515625" customWidth="1"/>
    <col min="7424" max="7424" width="46.42578125" bestFit="1" customWidth="1"/>
    <col min="7425" max="7425" width="8.7109375" customWidth="1"/>
    <col min="7426" max="7430" width="14.28515625" customWidth="1"/>
    <col min="7680" max="7680" width="46.42578125" bestFit="1" customWidth="1"/>
    <col min="7681" max="7681" width="8.7109375" customWidth="1"/>
    <col min="7682" max="7686" width="14.28515625" customWidth="1"/>
    <col min="7936" max="7936" width="46.42578125" bestFit="1" customWidth="1"/>
    <col min="7937" max="7937" width="8.7109375" customWidth="1"/>
    <col min="7938" max="7942" width="14.28515625" customWidth="1"/>
    <col min="8192" max="8192" width="46.42578125" bestFit="1" customWidth="1"/>
    <col min="8193" max="8193" width="8.7109375" customWidth="1"/>
    <col min="8194" max="8198" width="14.28515625" customWidth="1"/>
    <col min="8448" max="8448" width="46.42578125" bestFit="1" customWidth="1"/>
    <col min="8449" max="8449" width="8.7109375" customWidth="1"/>
    <col min="8450" max="8454" width="14.28515625" customWidth="1"/>
    <col min="8704" max="8704" width="46.42578125" bestFit="1" customWidth="1"/>
    <col min="8705" max="8705" width="8.7109375" customWidth="1"/>
    <col min="8706" max="8710" width="14.28515625" customWidth="1"/>
    <col min="8960" max="8960" width="46.42578125" bestFit="1" customWidth="1"/>
    <col min="8961" max="8961" width="8.7109375" customWidth="1"/>
    <col min="8962" max="8966" width="14.28515625" customWidth="1"/>
    <col min="9216" max="9216" width="46.42578125" bestFit="1" customWidth="1"/>
    <col min="9217" max="9217" width="8.7109375" customWidth="1"/>
    <col min="9218" max="9222" width="14.28515625" customWidth="1"/>
    <col min="9472" max="9472" width="46.42578125" bestFit="1" customWidth="1"/>
    <col min="9473" max="9473" width="8.7109375" customWidth="1"/>
    <col min="9474" max="9478" width="14.28515625" customWidth="1"/>
    <col min="9728" max="9728" width="46.42578125" bestFit="1" customWidth="1"/>
    <col min="9729" max="9729" width="8.7109375" customWidth="1"/>
    <col min="9730" max="9734" width="14.28515625" customWidth="1"/>
    <col min="9984" max="9984" width="46.42578125" bestFit="1" customWidth="1"/>
    <col min="9985" max="9985" width="8.7109375" customWidth="1"/>
    <col min="9986" max="9990" width="14.28515625" customWidth="1"/>
    <col min="10240" max="10240" width="46.42578125" bestFit="1" customWidth="1"/>
    <col min="10241" max="10241" width="8.7109375" customWidth="1"/>
    <col min="10242" max="10246" width="14.28515625" customWidth="1"/>
    <col min="10496" max="10496" width="46.42578125" bestFit="1" customWidth="1"/>
    <col min="10497" max="10497" width="8.7109375" customWidth="1"/>
    <col min="10498" max="10502" width="14.28515625" customWidth="1"/>
    <col min="10752" max="10752" width="46.42578125" bestFit="1" customWidth="1"/>
    <col min="10753" max="10753" width="8.7109375" customWidth="1"/>
    <col min="10754" max="10758" width="14.28515625" customWidth="1"/>
    <col min="11008" max="11008" width="46.42578125" bestFit="1" customWidth="1"/>
    <col min="11009" max="11009" width="8.7109375" customWidth="1"/>
    <col min="11010" max="11014" width="14.28515625" customWidth="1"/>
    <col min="11264" max="11264" width="46.42578125" bestFit="1" customWidth="1"/>
    <col min="11265" max="11265" width="8.7109375" customWidth="1"/>
    <col min="11266" max="11270" width="14.28515625" customWidth="1"/>
    <col min="11520" max="11520" width="46.42578125" bestFit="1" customWidth="1"/>
    <col min="11521" max="11521" width="8.7109375" customWidth="1"/>
    <col min="11522" max="11526" width="14.28515625" customWidth="1"/>
    <col min="11776" max="11776" width="46.42578125" bestFit="1" customWidth="1"/>
    <col min="11777" max="11777" width="8.7109375" customWidth="1"/>
    <col min="11778" max="11782" width="14.28515625" customWidth="1"/>
    <col min="12032" max="12032" width="46.42578125" bestFit="1" customWidth="1"/>
    <col min="12033" max="12033" width="8.7109375" customWidth="1"/>
    <col min="12034" max="12038" width="14.28515625" customWidth="1"/>
    <col min="12288" max="12288" width="46.42578125" bestFit="1" customWidth="1"/>
    <col min="12289" max="12289" width="8.7109375" customWidth="1"/>
    <col min="12290" max="12294" width="14.28515625" customWidth="1"/>
    <col min="12544" max="12544" width="46.42578125" bestFit="1" customWidth="1"/>
    <col min="12545" max="12545" width="8.7109375" customWidth="1"/>
    <col min="12546" max="12550" width="14.28515625" customWidth="1"/>
    <col min="12800" max="12800" width="46.42578125" bestFit="1" customWidth="1"/>
    <col min="12801" max="12801" width="8.7109375" customWidth="1"/>
    <col min="12802" max="12806" width="14.28515625" customWidth="1"/>
    <col min="13056" max="13056" width="46.42578125" bestFit="1" customWidth="1"/>
    <col min="13057" max="13057" width="8.7109375" customWidth="1"/>
    <col min="13058" max="13062" width="14.28515625" customWidth="1"/>
    <col min="13312" max="13312" width="46.42578125" bestFit="1" customWidth="1"/>
    <col min="13313" max="13313" width="8.7109375" customWidth="1"/>
    <col min="13314" max="13318" width="14.28515625" customWidth="1"/>
    <col min="13568" max="13568" width="46.42578125" bestFit="1" customWidth="1"/>
    <col min="13569" max="13569" width="8.7109375" customWidth="1"/>
    <col min="13570" max="13574" width="14.28515625" customWidth="1"/>
    <col min="13824" max="13824" width="46.42578125" bestFit="1" customWidth="1"/>
    <col min="13825" max="13825" width="8.7109375" customWidth="1"/>
    <col min="13826" max="13830" width="14.28515625" customWidth="1"/>
    <col min="14080" max="14080" width="46.42578125" bestFit="1" customWidth="1"/>
    <col min="14081" max="14081" width="8.7109375" customWidth="1"/>
    <col min="14082" max="14086" width="14.28515625" customWidth="1"/>
    <col min="14336" max="14336" width="46.42578125" bestFit="1" customWidth="1"/>
    <col min="14337" max="14337" width="8.7109375" customWidth="1"/>
    <col min="14338" max="14342" width="14.28515625" customWidth="1"/>
    <col min="14592" max="14592" width="46.42578125" bestFit="1" customWidth="1"/>
    <col min="14593" max="14593" width="8.7109375" customWidth="1"/>
    <col min="14594" max="14598" width="14.28515625" customWidth="1"/>
    <col min="14848" max="14848" width="46.42578125" bestFit="1" customWidth="1"/>
    <col min="14849" max="14849" width="8.7109375" customWidth="1"/>
    <col min="14850" max="14854" width="14.28515625" customWidth="1"/>
    <col min="15104" max="15104" width="46.42578125" bestFit="1" customWidth="1"/>
    <col min="15105" max="15105" width="8.7109375" customWidth="1"/>
    <col min="15106" max="15110" width="14.28515625" customWidth="1"/>
    <col min="15360" max="15360" width="46.42578125" bestFit="1" customWidth="1"/>
    <col min="15361" max="15361" width="8.7109375" customWidth="1"/>
    <col min="15362" max="15366" width="14.28515625" customWidth="1"/>
    <col min="15616" max="15616" width="46.42578125" bestFit="1" customWidth="1"/>
    <col min="15617" max="15617" width="8.7109375" customWidth="1"/>
    <col min="15618" max="15622" width="14.28515625" customWidth="1"/>
    <col min="15872" max="15872" width="46.42578125" bestFit="1" customWidth="1"/>
    <col min="15873" max="15873" width="8.7109375" customWidth="1"/>
    <col min="15874" max="15878" width="14.28515625" customWidth="1"/>
    <col min="16128" max="16128" width="46.42578125" bestFit="1" customWidth="1"/>
    <col min="16129" max="16129" width="8.7109375" customWidth="1"/>
    <col min="16130" max="16134" width="14.28515625" customWidth="1"/>
  </cols>
  <sheetData>
    <row r="3" spans="1:8" ht="15">
      <c r="A3" s="35" t="s">
        <v>1825</v>
      </c>
      <c r="B3" s="34"/>
      <c r="C3" s="34"/>
      <c r="D3" s="34"/>
      <c r="E3" s="34"/>
      <c r="F3" s="34"/>
    </row>
    <row r="4" spans="1:8" ht="15">
      <c r="A4" s="341" t="s">
        <v>705</v>
      </c>
      <c r="B4" s="341"/>
      <c r="C4" s="341"/>
      <c r="D4" s="341"/>
      <c r="E4" s="341"/>
      <c r="F4" s="341"/>
    </row>
    <row r="5" spans="1:8" ht="15" hidden="1">
      <c r="A5" s="36" t="s">
        <v>54</v>
      </c>
      <c r="B5" s="34"/>
      <c r="C5" s="34"/>
      <c r="D5" s="34"/>
      <c r="E5" s="34"/>
      <c r="F5" s="34"/>
    </row>
    <row r="6" spans="1:8" hidden="1">
      <c r="A6" s="37" t="s">
        <v>54</v>
      </c>
      <c r="B6" s="34"/>
      <c r="C6" s="34"/>
      <c r="D6" s="34"/>
      <c r="E6" s="34"/>
      <c r="F6" s="34"/>
    </row>
    <row r="7" spans="1:8" hidden="1">
      <c r="A7" s="342">
        <v>42460</v>
      </c>
      <c r="B7" s="342"/>
      <c r="C7" s="342"/>
      <c r="D7" s="342"/>
      <c r="E7" s="342"/>
      <c r="F7" s="342"/>
    </row>
    <row r="8" spans="1:8">
      <c r="A8" s="38"/>
      <c r="B8" s="38"/>
      <c r="C8" s="38"/>
      <c r="D8" s="38"/>
      <c r="E8" s="38"/>
      <c r="F8" s="38"/>
    </row>
    <row r="9" spans="1:8" ht="13.5" thickBot="1">
      <c r="C9" s="17" t="s">
        <v>251</v>
      </c>
      <c r="D9" s="17" t="s">
        <v>251</v>
      </c>
      <c r="E9" s="17" t="s">
        <v>251</v>
      </c>
      <c r="F9" s="17" t="s">
        <v>44</v>
      </c>
      <c r="G9" s="248" t="s">
        <v>1701</v>
      </c>
    </row>
    <row r="10" spans="1:8" ht="13.5" thickTop="1">
      <c r="A10" s="39"/>
      <c r="B10" s="40"/>
      <c r="C10" s="41" t="s">
        <v>55</v>
      </c>
      <c r="D10" s="41" t="s">
        <v>55</v>
      </c>
      <c r="E10" s="41" t="s">
        <v>55</v>
      </c>
      <c r="F10" s="41"/>
      <c r="G10" s="61"/>
    </row>
    <row r="11" spans="1:8" ht="13.5" thickBot="1">
      <c r="A11" s="42"/>
      <c r="B11" s="43"/>
      <c r="C11" s="44" t="s">
        <v>58</v>
      </c>
      <c r="D11" s="44" t="s">
        <v>57</v>
      </c>
      <c r="E11" s="44" t="s">
        <v>59</v>
      </c>
      <c r="F11" s="44" t="s">
        <v>57</v>
      </c>
      <c r="G11" s="62" t="s">
        <v>57</v>
      </c>
      <c r="H11" s="55" t="s">
        <v>252</v>
      </c>
    </row>
    <row r="12" spans="1:8" ht="13.5" thickTop="1">
      <c r="A12" s="45" t="s">
        <v>60</v>
      </c>
      <c r="B12" s="46"/>
      <c r="C12" s="47"/>
      <c r="D12" s="47"/>
      <c r="E12" s="47"/>
      <c r="F12" s="47"/>
    </row>
    <row r="13" spans="1:8">
      <c r="A13" s="30" t="s">
        <v>706</v>
      </c>
      <c r="B13" s="30" t="s">
        <v>707</v>
      </c>
      <c r="C13" s="56">
        <v>1270</v>
      </c>
      <c r="D13" s="56">
        <v>15000</v>
      </c>
      <c r="E13" s="56">
        <v>13730</v>
      </c>
      <c r="F13" s="56">
        <v>15000</v>
      </c>
    </row>
    <row r="14" spans="1:8">
      <c r="A14" s="30" t="s">
        <v>708</v>
      </c>
      <c r="B14" s="30" t="s">
        <v>709</v>
      </c>
      <c r="C14" s="56">
        <v>0</v>
      </c>
      <c r="D14" s="56">
        <v>2000</v>
      </c>
      <c r="E14" s="56">
        <v>2000</v>
      </c>
      <c r="F14" s="56">
        <v>2000</v>
      </c>
      <c r="H14" t="s">
        <v>1015</v>
      </c>
    </row>
    <row r="15" spans="1:8">
      <c r="A15" s="30"/>
      <c r="B15" s="30"/>
      <c r="C15" s="56"/>
      <c r="D15" s="56"/>
      <c r="E15" s="56"/>
      <c r="F15" s="56"/>
    </row>
    <row r="16" spans="1:8">
      <c r="A16" s="49" t="s">
        <v>115</v>
      </c>
      <c r="B16" s="50"/>
      <c r="C16" s="57">
        <v>1270</v>
      </c>
      <c r="D16" s="57">
        <v>17000</v>
      </c>
      <c r="E16" s="57">
        <v>15730</v>
      </c>
      <c r="F16" s="57">
        <v>17000</v>
      </c>
      <c r="G16" s="75">
        <f>SUM(G13:G14)</f>
        <v>0</v>
      </c>
    </row>
    <row r="17" spans="1:8">
      <c r="A17" s="46"/>
      <c r="C17" s="56"/>
      <c r="D17" s="56"/>
      <c r="E17" s="56"/>
      <c r="F17" s="56"/>
    </row>
    <row r="18" spans="1:8">
      <c r="A18" s="45" t="s">
        <v>116</v>
      </c>
      <c r="C18" s="56"/>
      <c r="D18" s="56"/>
      <c r="E18" s="56"/>
      <c r="F18" s="56"/>
    </row>
    <row r="19" spans="1:8">
      <c r="A19" s="30" t="s">
        <v>710</v>
      </c>
      <c r="B19" s="30" t="s">
        <v>711</v>
      </c>
      <c r="C19" s="56">
        <v>0</v>
      </c>
      <c r="D19" s="56">
        <v>10683.2</v>
      </c>
      <c r="E19" s="56">
        <v>10683.2</v>
      </c>
      <c r="F19" s="56">
        <v>15000</v>
      </c>
      <c r="H19" t="s">
        <v>1694</v>
      </c>
    </row>
    <row r="20" spans="1:8">
      <c r="A20" s="30" t="s">
        <v>712</v>
      </c>
      <c r="B20" s="30" t="s">
        <v>713</v>
      </c>
      <c r="C20" s="56">
        <v>0</v>
      </c>
      <c r="D20" s="56">
        <v>616.79999999999995</v>
      </c>
      <c r="E20" s="56">
        <v>616.79999999999995</v>
      </c>
      <c r="F20" s="56">
        <v>0</v>
      </c>
      <c r="G20" s="59">
        <v>0</v>
      </c>
    </row>
    <row r="21" spans="1:8">
      <c r="A21" s="30" t="s">
        <v>714</v>
      </c>
      <c r="B21" s="30" t="s">
        <v>715</v>
      </c>
      <c r="C21" s="56">
        <v>7162.53</v>
      </c>
      <c r="D21" s="56">
        <v>3700</v>
      </c>
      <c r="E21" s="56">
        <v>-3462.5299999999997</v>
      </c>
      <c r="F21" s="56">
        <v>0</v>
      </c>
      <c r="G21" s="59">
        <v>0</v>
      </c>
    </row>
    <row r="22" spans="1:8">
      <c r="A22" s="30" t="s">
        <v>716</v>
      </c>
      <c r="B22" s="30" t="s">
        <v>717</v>
      </c>
      <c r="C22" s="56">
        <v>2800.34</v>
      </c>
      <c r="D22" s="56">
        <v>2000</v>
      </c>
      <c r="E22" s="56">
        <v>-800.34000000000015</v>
      </c>
      <c r="F22" s="56">
        <v>2000</v>
      </c>
    </row>
    <row r="23" spans="1:8">
      <c r="C23" s="56"/>
      <c r="D23" s="56"/>
      <c r="E23" s="56"/>
      <c r="F23" s="56"/>
    </row>
    <row r="24" spans="1:8">
      <c r="A24" s="49" t="s">
        <v>249</v>
      </c>
      <c r="B24" s="52"/>
      <c r="C24" s="57">
        <v>9962.869999999999</v>
      </c>
      <c r="D24" s="57">
        <v>17000</v>
      </c>
      <c r="E24" s="57">
        <v>7037.13</v>
      </c>
      <c r="F24" s="57">
        <v>17000</v>
      </c>
      <c r="G24" s="75">
        <f>SUM(G19:G22)</f>
        <v>0</v>
      </c>
    </row>
    <row r="25" spans="1:8">
      <c r="C25" s="56"/>
      <c r="D25" s="56"/>
      <c r="E25" s="56"/>
      <c r="F25" s="56"/>
    </row>
    <row r="26" spans="1:8" ht="13.5" thickBot="1">
      <c r="A26" s="43" t="s">
        <v>250</v>
      </c>
      <c r="B26" s="53"/>
      <c r="C26" s="54">
        <v>-8692.869999999999</v>
      </c>
      <c r="D26" s="54">
        <v>0</v>
      </c>
      <c r="E26" s="54">
        <v>8692.869999999999</v>
      </c>
      <c r="F26" s="54">
        <v>0</v>
      </c>
      <c r="G26" s="73">
        <f>G16-G24</f>
        <v>0</v>
      </c>
    </row>
    <row r="27" spans="1:8" ht="13.5" thickTop="1"/>
  </sheetData>
  <mergeCells count="2">
    <mergeCell ref="A4:F4"/>
    <mergeCell ref="A7:F7"/>
  </mergeCells>
  <pageMargins left="0.7" right="0.7" top="0.75" bottom="0.75" header="0.3" footer="0.3"/>
  <pageSetup orientation="landscape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48"/>
  <sheetViews>
    <sheetView topLeftCell="A23" zoomScale="150" zoomScaleNormal="150" workbookViewId="0">
      <selection activeCell="H29" sqref="H29"/>
    </sheetView>
  </sheetViews>
  <sheetFormatPr defaultRowHeight="12.75"/>
  <cols>
    <col min="1" max="1" width="46.42578125" bestFit="1" customWidth="1"/>
    <col min="2" max="2" width="8.7109375" customWidth="1"/>
    <col min="3" max="5" width="14.28515625" hidden="1" customWidth="1"/>
    <col min="6" max="6" width="14.28515625" customWidth="1"/>
    <col min="7" max="7" width="12.7109375" style="59" customWidth="1"/>
    <col min="8" max="8" width="16.42578125" customWidth="1"/>
    <col min="256" max="256" width="46.42578125" bestFit="1" customWidth="1"/>
    <col min="257" max="257" width="8.7109375" customWidth="1"/>
    <col min="258" max="262" width="14.28515625" customWidth="1"/>
    <col min="512" max="512" width="46.42578125" bestFit="1" customWidth="1"/>
    <col min="513" max="513" width="8.7109375" customWidth="1"/>
    <col min="514" max="518" width="14.28515625" customWidth="1"/>
    <col min="768" max="768" width="46.42578125" bestFit="1" customWidth="1"/>
    <col min="769" max="769" width="8.7109375" customWidth="1"/>
    <col min="770" max="774" width="14.28515625" customWidth="1"/>
    <col min="1024" max="1024" width="46.42578125" bestFit="1" customWidth="1"/>
    <col min="1025" max="1025" width="8.7109375" customWidth="1"/>
    <col min="1026" max="1030" width="14.28515625" customWidth="1"/>
    <col min="1280" max="1280" width="46.42578125" bestFit="1" customWidth="1"/>
    <col min="1281" max="1281" width="8.7109375" customWidth="1"/>
    <col min="1282" max="1286" width="14.28515625" customWidth="1"/>
    <col min="1536" max="1536" width="46.42578125" bestFit="1" customWidth="1"/>
    <col min="1537" max="1537" width="8.7109375" customWidth="1"/>
    <col min="1538" max="1542" width="14.28515625" customWidth="1"/>
    <col min="1792" max="1792" width="46.42578125" bestFit="1" customWidth="1"/>
    <col min="1793" max="1793" width="8.7109375" customWidth="1"/>
    <col min="1794" max="1798" width="14.28515625" customWidth="1"/>
    <col min="2048" max="2048" width="46.42578125" bestFit="1" customWidth="1"/>
    <col min="2049" max="2049" width="8.7109375" customWidth="1"/>
    <col min="2050" max="2054" width="14.28515625" customWidth="1"/>
    <col min="2304" max="2304" width="46.42578125" bestFit="1" customWidth="1"/>
    <col min="2305" max="2305" width="8.7109375" customWidth="1"/>
    <col min="2306" max="2310" width="14.28515625" customWidth="1"/>
    <col min="2560" max="2560" width="46.42578125" bestFit="1" customWidth="1"/>
    <col min="2561" max="2561" width="8.7109375" customWidth="1"/>
    <col min="2562" max="2566" width="14.28515625" customWidth="1"/>
    <col min="2816" max="2816" width="46.42578125" bestFit="1" customWidth="1"/>
    <col min="2817" max="2817" width="8.7109375" customWidth="1"/>
    <col min="2818" max="2822" width="14.28515625" customWidth="1"/>
    <col min="3072" max="3072" width="46.42578125" bestFit="1" customWidth="1"/>
    <col min="3073" max="3073" width="8.7109375" customWidth="1"/>
    <col min="3074" max="3078" width="14.28515625" customWidth="1"/>
    <col min="3328" max="3328" width="46.42578125" bestFit="1" customWidth="1"/>
    <col min="3329" max="3329" width="8.7109375" customWidth="1"/>
    <col min="3330" max="3334" width="14.28515625" customWidth="1"/>
    <col min="3584" max="3584" width="46.42578125" bestFit="1" customWidth="1"/>
    <col min="3585" max="3585" width="8.7109375" customWidth="1"/>
    <col min="3586" max="3590" width="14.28515625" customWidth="1"/>
    <col min="3840" max="3840" width="46.42578125" bestFit="1" customWidth="1"/>
    <col min="3841" max="3841" width="8.7109375" customWidth="1"/>
    <col min="3842" max="3846" width="14.28515625" customWidth="1"/>
    <col min="4096" max="4096" width="46.42578125" bestFit="1" customWidth="1"/>
    <col min="4097" max="4097" width="8.7109375" customWidth="1"/>
    <col min="4098" max="4102" width="14.28515625" customWidth="1"/>
    <col min="4352" max="4352" width="46.42578125" bestFit="1" customWidth="1"/>
    <col min="4353" max="4353" width="8.7109375" customWidth="1"/>
    <col min="4354" max="4358" width="14.28515625" customWidth="1"/>
    <col min="4608" max="4608" width="46.42578125" bestFit="1" customWidth="1"/>
    <col min="4609" max="4609" width="8.7109375" customWidth="1"/>
    <col min="4610" max="4614" width="14.28515625" customWidth="1"/>
    <col min="4864" max="4864" width="46.42578125" bestFit="1" customWidth="1"/>
    <col min="4865" max="4865" width="8.7109375" customWidth="1"/>
    <col min="4866" max="4870" width="14.28515625" customWidth="1"/>
    <col min="5120" max="5120" width="46.42578125" bestFit="1" customWidth="1"/>
    <col min="5121" max="5121" width="8.7109375" customWidth="1"/>
    <col min="5122" max="5126" width="14.28515625" customWidth="1"/>
    <col min="5376" max="5376" width="46.42578125" bestFit="1" customWidth="1"/>
    <col min="5377" max="5377" width="8.7109375" customWidth="1"/>
    <col min="5378" max="5382" width="14.28515625" customWidth="1"/>
    <col min="5632" max="5632" width="46.42578125" bestFit="1" customWidth="1"/>
    <col min="5633" max="5633" width="8.7109375" customWidth="1"/>
    <col min="5634" max="5638" width="14.28515625" customWidth="1"/>
    <col min="5888" max="5888" width="46.42578125" bestFit="1" customWidth="1"/>
    <col min="5889" max="5889" width="8.7109375" customWidth="1"/>
    <col min="5890" max="5894" width="14.28515625" customWidth="1"/>
    <col min="6144" max="6144" width="46.42578125" bestFit="1" customWidth="1"/>
    <col min="6145" max="6145" width="8.7109375" customWidth="1"/>
    <col min="6146" max="6150" width="14.28515625" customWidth="1"/>
    <col min="6400" max="6400" width="46.42578125" bestFit="1" customWidth="1"/>
    <col min="6401" max="6401" width="8.7109375" customWidth="1"/>
    <col min="6402" max="6406" width="14.28515625" customWidth="1"/>
    <col min="6656" max="6656" width="46.42578125" bestFit="1" customWidth="1"/>
    <col min="6657" max="6657" width="8.7109375" customWidth="1"/>
    <col min="6658" max="6662" width="14.28515625" customWidth="1"/>
    <col min="6912" max="6912" width="46.42578125" bestFit="1" customWidth="1"/>
    <col min="6913" max="6913" width="8.7109375" customWidth="1"/>
    <col min="6914" max="6918" width="14.28515625" customWidth="1"/>
    <col min="7168" max="7168" width="46.42578125" bestFit="1" customWidth="1"/>
    <col min="7169" max="7169" width="8.7109375" customWidth="1"/>
    <col min="7170" max="7174" width="14.28515625" customWidth="1"/>
    <col min="7424" max="7424" width="46.42578125" bestFit="1" customWidth="1"/>
    <col min="7425" max="7425" width="8.7109375" customWidth="1"/>
    <col min="7426" max="7430" width="14.28515625" customWidth="1"/>
    <col min="7680" max="7680" width="46.42578125" bestFit="1" customWidth="1"/>
    <col min="7681" max="7681" width="8.7109375" customWidth="1"/>
    <col min="7682" max="7686" width="14.28515625" customWidth="1"/>
    <col min="7936" max="7936" width="46.42578125" bestFit="1" customWidth="1"/>
    <col min="7937" max="7937" width="8.7109375" customWidth="1"/>
    <col min="7938" max="7942" width="14.28515625" customWidth="1"/>
    <col min="8192" max="8192" width="46.42578125" bestFit="1" customWidth="1"/>
    <col min="8193" max="8193" width="8.7109375" customWidth="1"/>
    <col min="8194" max="8198" width="14.28515625" customWidth="1"/>
    <col min="8448" max="8448" width="46.42578125" bestFit="1" customWidth="1"/>
    <col min="8449" max="8449" width="8.7109375" customWidth="1"/>
    <col min="8450" max="8454" width="14.28515625" customWidth="1"/>
    <col min="8704" max="8704" width="46.42578125" bestFit="1" customWidth="1"/>
    <col min="8705" max="8705" width="8.7109375" customWidth="1"/>
    <col min="8706" max="8710" width="14.28515625" customWidth="1"/>
    <col min="8960" max="8960" width="46.42578125" bestFit="1" customWidth="1"/>
    <col min="8961" max="8961" width="8.7109375" customWidth="1"/>
    <col min="8962" max="8966" width="14.28515625" customWidth="1"/>
    <col min="9216" max="9216" width="46.42578125" bestFit="1" customWidth="1"/>
    <col min="9217" max="9217" width="8.7109375" customWidth="1"/>
    <col min="9218" max="9222" width="14.28515625" customWidth="1"/>
    <col min="9472" max="9472" width="46.42578125" bestFit="1" customWidth="1"/>
    <col min="9473" max="9473" width="8.7109375" customWidth="1"/>
    <col min="9474" max="9478" width="14.28515625" customWidth="1"/>
    <col min="9728" max="9728" width="46.42578125" bestFit="1" customWidth="1"/>
    <col min="9729" max="9729" width="8.7109375" customWidth="1"/>
    <col min="9730" max="9734" width="14.28515625" customWidth="1"/>
    <col min="9984" max="9984" width="46.42578125" bestFit="1" customWidth="1"/>
    <col min="9985" max="9985" width="8.7109375" customWidth="1"/>
    <col min="9986" max="9990" width="14.28515625" customWidth="1"/>
    <col min="10240" max="10240" width="46.42578125" bestFit="1" customWidth="1"/>
    <col min="10241" max="10241" width="8.7109375" customWidth="1"/>
    <col min="10242" max="10246" width="14.28515625" customWidth="1"/>
    <col min="10496" max="10496" width="46.42578125" bestFit="1" customWidth="1"/>
    <col min="10497" max="10497" width="8.7109375" customWidth="1"/>
    <col min="10498" max="10502" width="14.28515625" customWidth="1"/>
    <col min="10752" max="10752" width="46.42578125" bestFit="1" customWidth="1"/>
    <col min="10753" max="10753" width="8.7109375" customWidth="1"/>
    <col min="10754" max="10758" width="14.28515625" customWidth="1"/>
    <col min="11008" max="11008" width="46.42578125" bestFit="1" customWidth="1"/>
    <col min="11009" max="11009" width="8.7109375" customWidth="1"/>
    <col min="11010" max="11014" width="14.28515625" customWidth="1"/>
    <col min="11264" max="11264" width="46.42578125" bestFit="1" customWidth="1"/>
    <col min="11265" max="11265" width="8.7109375" customWidth="1"/>
    <col min="11266" max="11270" width="14.28515625" customWidth="1"/>
    <col min="11520" max="11520" width="46.42578125" bestFit="1" customWidth="1"/>
    <col min="11521" max="11521" width="8.7109375" customWidth="1"/>
    <col min="11522" max="11526" width="14.28515625" customWidth="1"/>
    <col min="11776" max="11776" width="46.42578125" bestFit="1" customWidth="1"/>
    <col min="11777" max="11777" width="8.7109375" customWidth="1"/>
    <col min="11778" max="11782" width="14.28515625" customWidth="1"/>
    <col min="12032" max="12032" width="46.42578125" bestFit="1" customWidth="1"/>
    <col min="12033" max="12033" width="8.7109375" customWidth="1"/>
    <col min="12034" max="12038" width="14.28515625" customWidth="1"/>
    <col min="12288" max="12288" width="46.42578125" bestFit="1" customWidth="1"/>
    <col min="12289" max="12289" width="8.7109375" customWidth="1"/>
    <col min="12290" max="12294" width="14.28515625" customWidth="1"/>
    <col min="12544" max="12544" width="46.42578125" bestFit="1" customWidth="1"/>
    <col min="12545" max="12545" width="8.7109375" customWidth="1"/>
    <col min="12546" max="12550" width="14.28515625" customWidth="1"/>
    <col min="12800" max="12800" width="46.42578125" bestFit="1" customWidth="1"/>
    <col min="12801" max="12801" width="8.7109375" customWidth="1"/>
    <col min="12802" max="12806" width="14.28515625" customWidth="1"/>
    <col min="13056" max="13056" width="46.42578125" bestFit="1" customWidth="1"/>
    <col min="13057" max="13057" width="8.7109375" customWidth="1"/>
    <col min="13058" max="13062" width="14.28515625" customWidth="1"/>
    <col min="13312" max="13312" width="46.42578125" bestFit="1" customWidth="1"/>
    <col min="13313" max="13313" width="8.7109375" customWidth="1"/>
    <col min="13314" max="13318" width="14.28515625" customWidth="1"/>
    <col min="13568" max="13568" width="46.42578125" bestFit="1" customWidth="1"/>
    <col min="13569" max="13569" width="8.7109375" customWidth="1"/>
    <col min="13570" max="13574" width="14.28515625" customWidth="1"/>
    <col min="13824" max="13824" width="46.42578125" bestFit="1" customWidth="1"/>
    <col min="13825" max="13825" width="8.7109375" customWidth="1"/>
    <col min="13826" max="13830" width="14.28515625" customWidth="1"/>
    <col min="14080" max="14080" width="46.42578125" bestFit="1" customWidth="1"/>
    <col min="14081" max="14081" width="8.7109375" customWidth="1"/>
    <col min="14082" max="14086" width="14.28515625" customWidth="1"/>
    <col min="14336" max="14336" width="46.42578125" bestFit="1" customWidth="1"/>
    <col min="14337" max="14337" width="8.7109375" customWidth="1"/>
    <col min="14338" max="14342" width="14.28515625" customWidth="1"/>
    <col min="14592" max="14592" width="46.42578125" bestFit="1" customWidth="1"/>
    <col min="14593" max="14593" width="8.7109375" customWidth="1"/>
    <col min="14594" max="14598" width="14.28515625" customWidth="1"/>
    <col min="14848" max="14848" width="46.42578125" bestFit="1" customWidth="1"/>
    <col min="14849" max="14849" width="8.7109375" customWidth="1"/>
    <col min="14850" max="14854" width="14.28515625" customWidth="1"/>
    <col min="15104" max="15104" width="46.42578125" bestFit="1" customWidth="1"/>
    <col min="15105" max="15105" width="8.7109375" customWidth="1"/>
    <col min="15106" max="15110" width="14.28515625" customWidth="1"/>
    <col min="15360" max="15360" width="46.42578125" bestFit="1" customWidth="1"/>
    <col min="15361" max="15361" width="8.7109375" customWidth="1"/>
    <col min="15362" max="15366" width="14.28515625" customWidth="1"/>
    <col min="15616" max="15616" width="46.42578125" bestFit="1" customWidth="1"/>
    <col min="15617" max="15617" width="8.7109375" customWidth="1"/>
    <col min="15618" max="15622" width="14.28515625" customWidth="1"/>
    <col min="15872" max="15872" width="46.42578125" bestFit="1" customWidth="1"/>
    <col min="15873" max="15873" width="8.7109375" customWidth="1"/>
    <col min="15874" max="15878" width="14.28515625" customWidth="1"/>
    <col min="16128" max="16128" width="46.42578125" bestFit="1" customWidth="1"/>
    <col min="16129" max="16129" width="8.7109375" customWidth="1"/>
    <col min="16130" max="16134" width="14.28515625" customWidth="1"/>
  </cols>
  <sheetData>
    <row r="3" spans="1:8" ht="15">
      <c r="A3" s="35" t="s">
        <v>1825</v>
      </c>
      <c r="B3" s="34"/>
      <c r="C3" s="34"/>
      <c r="D3" s="34"/>
      <c r="E3" s="34"/>
      <c r="F3" s="34"/>
    </row>
    <row r="4" spans="1:8" ht="15">
      <c r="A4" s="341" t="s">
        <v>718</v>
      </c>
      <c r="B4" s="341"/>
      <c r="C4" s="341"/>
      <c r="D4" s="341"/>
      <c r="E4" s="341"/>
      <c r="F4" s="341"/>
    </row>
    <row r="5" spans="1:8" ht="15" hidden="1">
      <c r="A5" s="36" t="s">
        <v>54</v>
      </c>
      <c r="B5" s="34"/>
      <c r="C5" s="34"/>
      <c r="D5" s="34"/>
      <c r="E5" s="34"/>
      <c r="F5" s="34"/>
    </row>
    <row r="6" spans="1:8" hidden="1">
      <c r="A6" s="37" t="s">
        <v>54</v>
      </c>
      <c r="B6" s="34"/>
      <c r="C6" s="34"/>
      <c r="D6" s="34"/>
      <c r="E6" s="34"/>
      <c r="F6" s="34"/>
    </row>
    <row r="7" spans="1:8" hidden="1">
      <c r="A7" s="342">
        <v>42460</v>
      </c>
      <c r="B7" s="342"/>
      <c r="C7" s="342"/>
      <c r="D7" s="342"/>
      <c r="E7" s="342"/>
      <c r="F7" s="342"/>
    </row>
    <row r="8" spans="1:8">
      <c r="A8" s="38"/>
      <c r="B8" s="38"/>
      <c r="C8" s="38"/>
      <c r="D8" s="38"/>
      <c r="E8" s="38"/>
      <c r="F8" s="38"/>
    </row>
    <row r="9" spans="1:8" ht="13.5" thickBot="1">
      <c r="C9" s="17" t="s">
        <v>251</v>
      </c>
      <c r="D9" s="17" t="s">
        <v>251</v>
      </c>
      <c r="E9" s="17" t="s">
        <v>251</v>
      </c>
      <c r="F9" s="17" t="s">
        <v>44</v>
      </c>
      <c r="G9" s="248" t="s">
        <v>1701</v>
      </c>
    </row>
    <row r="10" spans="1:8" ht="13.5" thickTop="1">
      <c r="A10" s="39"/>
      <c r="B10" s="40"/>
      <c r="C10" s="41" t="s">
        <v>55</v>
      </c>
      <c r="D10" s="41" t="s">
        <v>55</v>
      </c>
      <c r="E10" s="41" t="s">
        <v>55</v>
      </c>
      <c r="F10" s="41"/>
      <c r="G10" s="61"/>
    </row>
    <row r="11" spans="1:8" ht="13.5" thickBot="1">
      <c r="A11" s="42"/>
      <c r="B11" s="43"/>
      <c r="C11" s="44" t="s">
        <v>58</v>
      </c>
      <c r="D11" s="44" t="s">
        <v>57</v>
      </c>
      <c r="E11" s="44" t="s">
        <v>59</v>
      </c>
      <c r="F11" s="44" t="s">
        <v>57</v>
      </c>
      <c r="G11" s="62" t="s">
        <v>57</v>
      </c>
      <c r="H11" s="55" t="s">
        <v>252</v>
      </c>
    </row>
    <row r="12" spans="1:8" ht="13.5" thickTop="1">
      <c r="A12" s="45" t="s">
        <v>60</v>
      </c>
      <c r="B12" s="46"/>
      <c r="C12" s="47"/>
      <c r="D12" s="47"/>
      <c r="E12" s="47"/>
      <c r="F12" s="47"/>
    </row>
    <row r="13" spans="1:8">
      <c r="A13" s="30" t="s">
        <v>719</v>
      </c>
      <c r="B13" s="30" t="s">
        <v>720</v>
      </c>
      <c r="C13" s="56">
        <v>284811.90000000002</v>
      </c>
      <c r="D13" s="56">
        <v>419104.63</v>
      </c>
      <c r="E13" s="56">
        <v>134292.72999999998</v>
      </c>
      <c r="F13" s="56">
        <v>419104.63</v>
      </c>
      <c r="G13" s="59">
        <v>436944</v>
      </c>
      <c r="H13" t="s">
        <v>1074</v>
      </c>
    </row>
    <row r="14" spans="1:8">
      <c r="A14" s="30" t="s">
        <v>721</v>
      </c>
      <c r="B14" s="30" t="s">
        <v>722</v>
      </c>
      <c r="C14" s="56">
        <v>1559.68</v>
      </c>
      <c r="D14" s="56">
        <v>0</v>
      </c>
      <c r="E14" s="56">
        <v>-1559.68</v>
      </c>
      <c r="F14" s="56">
        <v>0</v>
      </c>
      <c r="G14" s="59">
        <v>0</v>
      </c>
    </row>
    <row r="15" spans="1:8">
      <c r="A15" s="30"/>
      <c r="B15" s="30"/>
      <c r="C15" s="56"/>
      <c r="D15" s="56"/>
      <c r="E15" s="56"/>
      <c r="F15" s="56"/>
    </row>
    <row r="16" spans="1:8">
      <c r="A16" s="49" t="s">
        <v>115</v>
      </c>
      <c r="B16" s="50"/>
      <c r="C16" s="57">
        <v>286371.58</v>
      </c>
      <c r="D16" s="57">
        <v>419104.63</v>
      </c>
      <c r="E16" s="57">
        <v>132733.04999999999</v>
      </c>
      <c r="F16" s="57">
        <v>419104.63</v>
      </c>
      <c r="G16" s="75">
        <f>SUM(G13:G14)</f>
        <v>436944</v>
      </c>
    </row>
    <row r="17" spans="1:8">
      <c r="A17" s="46"/>
      <c r="C17" s="56"/>
      <c r="D17" s="56"/>
      <c r="E17" s="56"/>
      <c r="F17" s="56"/>
    </row>
    <row r="18" spans="1:8">
      <c r="A18" s="45" t="s">
        <v>116</v>
      </c>
      <c r="C18" s="56"/>
      <c r="D18" s="56"/>
      <c r="E18" s="56"/>
      <c r="F18" s="56"/>
    </row>
    <row r="19" spans="1:8">
      <c r="A19" s="30" t="s">
        <v>1843</v>
      </c>
      <c r="B19" s="30" t="s">
        <v>723</v>
      </c>
      <c r="C19" s="56">
        <v>689.02</v>
      </c>
      <c r="D19" s="56">
        <v>87480.38</v>
      </c>
      <c r="E19" s="56">
        <v>86791.360000000001</v>
      </c>
      <c r="F19" s="56">
        <v>68036</v>
      </c>
      <c r="G19" s="59">
        <f>42680.25+26811</f>
        <v>69491.25</v>
      </c>
    </row>
    <row r="20" spans="1:8">
      <c r="A20" s="30" t="s">
        <v>724</v>
      </c>
      <c r="B20" s="30" t="s">
        <v>725</v>
      </c>
      <c r="C20" s="56">
        <v>47650.66</v>
      </c>
      <c r="D20" s="56">
        <v>0</v>
      </c>
      <c r="E20" s="56">
        <v>-47650.66</v>
      </c>
      <c r="F20" s="56">
        <v>0</v>
      </c>
      <c r="G20" s="59">
        <v>0</v>
      </c>
      <c r="H20" s="70"/>
    </row>
    <row r="21" spans="1:8">
      <c r="A21" s="30" t="s">
        <v>1844</v>
      </c>
      <c r="B21" s="30" t="s">
        <v>726</v>
      </c>
      <c r="C21" s="56">
        <v>1731.77</v>
      </c>
      <c r="D21" s="56">
        <v>3500</v>
      </c>
      <c r="E21" s="56">
        <v>1768.23</v>
      </c>
      <c r="F21" s="56">
        <v>2309.0266666666666</v>
      </c>
      <c r="G21" s="59">
        <f>C21/9*12</f>
        <v>2309.0266666666666</v>
      </c>
    </row>
    <row r="22" spans="1:8">
      <c r="A22" s="30" t="s">
        <v>1845</v>
      </c>
      <c r="B22" s="30" t="s">
        <v>727</v>
      </c>
      <c r="C22" s="56">
        <v>189.48</v>
      </c>
      <c r="D22" s="56">
        <v>5000</v>
      </c>
      <c r="E22" s="56">
        <v>4810.5200000000004</v>
      </c>
      <c r="F22" s="56">
        <v>5000</v>
      </c>
      <c r="G22" s="59">
        <f t="shared" ref="G22:G28" si="0">F22</f>
        <v>5000</v>
      </c>
    </row>
    <row r="23" spans="1:8">
      <c r="A23" s="30" t="s">
        <v>1846</v>
      </c>
      <c r="B23" s="30" t="s">
        <v>728</v>
      </c>
      <c r="C23" s="56">
        <v>0</v>
      </c>
      <c r="D23" s="56">
        <v>4250</v>
      </c>
      <c r="E23" s="56">
        <v>4250</v>
      </c>
      <c r="F23" s="56">
        <v>4250</v>
      </c>
      <c r="G23" s="59">
        <f t="shared" si="0"/>
        <v>4250</v>
      </c>
    </row>
    <row r="24" spans="1:8">
      <c r="A24" s="30" t="s">
        <v>1847</v>
      </c>
      <c r="B24" s="30" t="s">
        <v>729</v>
      </c>
      <c r="C24" s="56">
        <v>0</v>
      </c>
      <c r="D24" s="56">
        <v>6000</v>
      </c>
      <c r="E24" s="56">
        <v>6000</v>
      </c>
      <c r="F24" s="56">
        <v>8000</v>
      </c>
      <c r="G24" s="59">
        <v>8000</v>
      </c>
    </row>
    <row r="25" spans="1:8">
      <c r="A25" s="30" t="s">
        <v>730</v>
      </c>
      <c r="B25" s="30" t="s">
        <v>731</v>
      </c>
      <c r="C25" s="56">
        <v>0</v>
      </c>
      <c r="D25" s="56">
        <v>12000</v>
      </c>
      <c r="E25" s="56">
        <v>12000</v>
      </c>
      <c r="F25" s="56">
        <v>12000</v>
      </c>
      <c r="G25" s="59">
        <f t="shared" si="0"/>
        <v>12000</v>
      </c>
      <c r="H25" t="s">
        <v>1019</v>
      </c>
    </row>
    <row r="26" spans="1:8">
      <c r="A26" s="30" t="s">
        <v>732</v>
      </c>
      <c r="B26" s="30" t="s">
        <v>733</v>
      </c>
      <c r="C26" s="56">
        <v>5099.9799999999996</v>
      </c>
      <c r="D26" s="56">
        <v>6000</v>
      </c>
      <c r="E26" s="56">
        <v>900.02000000000044</v>
      </c>
      <c r="F26" s="56">
        <v>6000</v>
      </c>
      <c r="G26" s="59">
        <f t="shared" si="0"/>
        <v>6000</v>
      </c>
    </row>
    <row r="27" spans="1:8">
      <c r="A27" s="30" t="s">
        <v>1848</v>
      </c>
      <c r="B27" s="30" t="s">
        <v>734</v>
      </c>
      <c r="C27" s="56">
        <v>4242.54</v>
      </c>
      <c r="D27" s="56">
        <v>6000</v>
      </c>
      <c r="E27" s="56">
        <v>1757.46</v>
      </c>
      <c r="F27" s="56">
        <v>6000</v>
      </c>
      <c r="G27" s="59">
        <f t="shared" si="0"/>
        <v>6000</v>
      </c>
    </row>
    <row r="28" spans="1:8">
      <c r="A28" s="30" t="s">
        <v>1849</v>
      </c>
      <c r="B28" s="30" t="s">
        <v>735</v>
      </c>
      <c r="C28" s="56">
        <v>0</v>
      </c>
      <c r="D28" s="56">
        <v>20000</v>
      </c>
      <c r="E28" s="56">
        <v>20000</v>
      </c>
      <c r="F28" s="56">
        <v>20000</v>
      </c>
      <c r="G28" s="59">
        <f t="shared" si="0"/>
        <v>20000</v>
      </c>
    </row>
    <row r="29" spans="1:8">
      <c r="A29" s="30" t="s">
        <v>736</v>
      </c>
      <c r="B29" s="30" t="s">
        <v>737</v>
      </c>
      <c r="C29" s="56">
        <v>8122.1</v>
      </c>
      <c r="D29" s="56">
        <v>40000</v>
      </c>
      <c r="E29" s="56">
        <v>31877.9</v>
      </c>
      <c r="F29" s="56">
        <v>52278.213300000003</v>
      </c>
      <c r="G29" s="59">
        <f>56780-4502+0.2133</f>
        <v>52278.213300000003</v>
      </c>
    </row>
    <row r="30" spans="1:8">
      <c r="A30" s="30" t="s">
        <v>738</v>
      </c>
      <c r="B30" s="30" t="s">
        <v>739</v>
      </c>
      <c r="C30" s="56">
        <v>0</v>
      </c>
      <c r="D30" s="56">
        <v>5000</v>
      </c>
      <c r="E30" s="56">
        <v>5000</v>
      </c>
      <c r="F30" s="56">
        <v>0</v>
      </c>
      <c r="G30" s="59">
        <v>0</v>
      </c>
    </row>
    <row r="31" spans="1:8">
      <c r="A31" s="30" t="s">
        <v>740</v>
      </c>
      <c r="B31" s="30" t="s">
        <v>741</v>
      </c>
      <c r="C31" s="56">
        <v>0</v>
      </c>
      <c r="D31" s="56">
        <v>35000</v>
      </c>
      <c r="E31" s="56">
        <v>35000</v>
      </c>
      <c r="F31" s="56">
        <v>0</v>
      </c>
      <c r="G31" s="59">
        <v>0</v>
      </c>
    </row>
    <row r="32" spans="1:8">
      <c r="A32" s="30" t="s">
        <v>742</v>
      </c>
      <c r="B32" s="30" t="s">
        <v>743</v>
      </c>
      <c r="C32" s="56">
        <v>28860</v>
      </c>
      <c r="D32" s="56">
        <v>60000</v>
      </c>
      <c r="E32" s="56">
        <v>31140</v>
      </c>
      <c r="F32" s="56">
        <v>54500</v>
      </c>
      <c r="G32" s="59">
        <v>54500</v>
      </c>
    </row>
    <row r="33" spans="1:8">
      <c r="A33" s="30" t="s">
        <v>1850</v>
      </c>
      <c r="B33" s="30" t="s">
        <v>744</v>
      </c>
      <c r="C33" s="56">
        <v>7303.6</v>
      </c>
      <c r="D33" s="56">
        <v>20000</v>
      </c>
      <c r="E33" s="56">
        <v>12696.4</v>
      </c>
      <c r="F33" s="56">
        <v>20000</v>
      </c>
      <c r="G33" s="59">
        <v>20000</v>
      </c>
    </row>
    <row r="34" spans="1:8">
      <c r="A34" s="30" t="s">
        <v>1851</v>
      </c>
      <c r="B34" s="30" t="s">
        <v>745</v>
      </c>
      <c r="C34" s="56">
        <v>2519.54</v>
      </c>
      <c r="D34" s="56">
        <v>1499.25</v>
      </c>
      <c r="E34" s="56">
        <v>-1020.29</v>
      </c>
      <c r="F34" s="56">
        <v>3000</v>
      </c>
      <c r="G34" s="59">
        <f>3000</f>
        <v>3000</v>
      </c>
    </row>
    <row r="35" spans="1:8">
      <c r="A35" s="30" t="s">
        <v>1856</v>
      </c>
      <c r="B35" s="30" t="s">
        <v>746</v>
      </c>
      <c r="C35" s="56">
        <v>0</v>
      </c>
      <c r="D35" s="56">
        <v>3600</v>
      </c>
      <c r="E35" s="56">
        <v>3600</v>
      </c>
      <c r="F35" s="56">
        <v>3600</v>
      </c>
      <c r="G35" s="59">
        <f>F35</f>
        <v>3600</v>
      </c>
      <c r="H35" t="s">
        <v>1019</v>
      </c>
    </row>
    <row r="36" spans="1:8">
      <c r="A36" s="30" t="s">
        <v>1857</v>
      </c>
      <c r="B36" s="30" t="s">
        <v>747</v>
      </c>
      <c r="C36" s="56">
        <v>584.29999999999995</v>
      </c>
      <c r="D36" s="56">
        <v>3000</v>
      </c>
      <c r="E36" s="56">
        <v>2415.6999999999998</v>
      </c>
      <c r="F36" s="56">
        <v>7140</v>
      </c>
      <c r="G36" s="59">
        <v>7140</v>
      </c>
    </row>
    <row r="37" spans="1:8">
      <c r="A37" s="30" t="s">
        <v>1852</v>
      </c>
      <c r="B37" s="30" t="s">
        <v>748</v>
      </c>
      <c r="C37" s="56">
        <v>1897.12</v>
      </c>
      <c r="D37" s="56">
        <v>0</v>
      </c>
      <c r="E37" s="56">
        <v>-1897.12</v>
      </c>
      <c r="F37" s="56">
        <v>6000</v>
      </c>
      <c r="G37" s="59">
        <v>6000</v>
      </c>
    </row>
    <row r="38" spans="1:8">
      <c r="A38" s="30" t="s">
        <v>1853</v>
      </c>
      <c r="B38" s="30" t="s">
        <v>749</v>
      </c>
      <c r="C38" s="56">
        <v>13553.81</v>
      </c>
      <c r="D38" s="56">
        <v>1200</v>
      </c>
      <c r="E38" s="56">
        <v>-12353.81</v>
      </c>
      <c r="F38" s="56">
        <v>0</v>
      </c>
      <c r="G38" s="59">
        <v>0</v>
      </c>
    </row>
    <row r="39" spans="1:8">
      <c r="A39" s="30" t="s">
        <v>750</v>
      </c>
      <c r="B39" s="30" t="s">
        <v>751</v>
      </c>
      <c r="C39" s="56">
        <v>18027.66</v>
      </c>
      <c r="D39" s="56">
        <v>25000</v>
      </c>
      <c r="E39" s="56">
        <v>6972.34</v>
      </c>
      <c r="F39" s="56">
        <v>11700</v>
      </c>
      <c r="G39" s="59">
        <v>11700</v>
      </c>
    </row>
    <row r="40" spans="1:8">
      <c r="A40" s="30" t="s">
        <v>752</v>
      </c>
      <c r="B40" s="30" t="s">
        <v>753</v>
      </c>
      <c r="C40" s="56">
        <v>16451.98</v>
      </c>
      <c r="D40" s="56">
        <v>20000</v>
      </c>
      <c r="E40" s="56">
        <v>3548.0200000000004</v>
      </c>
      <c r="F40" s="56">
        <v>10000</v>
      </c>
      <c r="G40" s="59">
        <v>10000</v>
      </c>
    </row>
    <row r="41" spans="1:8">
      <c r="A41" s="30" t="s">
        <v>754</v>
      </c>
      <c r="B41" s="30" t="s">
        <v>755</v>
      </c>
      <c r="C41" s="56">
        <v>56290</v>
      </c>
      <c r="D41" s="56">
        <v>48575</v>
      </c>
      <c r="E41" s="56">
        <v>-7715</v>
      </c>
      <c r="F41" s="56">
        <v>89291.39</v>
      </c>
      <c r="G41" s="59">
        <f>436944-329813-0.24-1455.25</f>
        <v>105675.51</v>
      </c>
      <c r="H41" t="s">
        <v>1803</v>
      </c>
    </row>
    <row r="42" spans="1:8">
      <c r="A42" s="30" t="s">
        <v>1854</v>
      </c>
      <c r="B42" s="30" t="s">
        <v>756</v>
      </c>
      <c r="C42" s="56">
        <v>3298.3</v>
      </c>
      <c r="D42" s="56">
        <v>6000</v>
      </c>
      <c r="E42" s="56">
        <v>2701.7</v>
      </c>
      <c r="F42" s="56">
        <v>6000</v>
      </c>
      <c r="G42" s="59">
        <f>F42</f>
        <v>6000</v>
      </c>
    </row>
    <row r="43" spans="1:8">
      <c r="A43" s="30" t="s">
        <v>1855</v>
      </c>
      <c r="B43" s="30" t="s">
        <v>1695</v>
      </c>
      <c r="C43" s="56">
        <v>0</v>
      </c>
      <c r="D43" s="56">
        <v>24000</v>
      </c>
      <c r="E43" s="56">
        <v>24000</v>
      </c>
      <c r="F43" s="56">
        <v>24000</v>
      </c>
      <c r="G43" s="59">
        <f>F43</f>
        <v>24000</v>
      </c>
      <c r="H43" s="59" t="s">
        <v>1020</v>
      </c>
    </row>
    <row r="44" spans="1:8">
      <c r="C44" s="56"/>
      <c r="D44" s="56"/>
      <c r="E44" s="56"/>
      <c r="F44" s="56"/>
    </row>
    <row r="45" spans="1:8">
      <c r="A45" s="49" t="s">
        <v>249</v>
      </c>
      <c r="B45" s="52"/>
      <c r="C45" s="57">
        <v>216511.86</v>
      </c>
      <c r="D45" s="57">
        <v>419104.63</v>
      </c>
      <c r="E45" s="57">
        <v>202592.77000000002</v>
      </c>
      <c r="F45" s="57">
        <v>419104.62996666669</v>
      </c>
      <c r="G45" s="75">
        <f>SUM(G19:G44)</f>
        <v>436943.99996666668</v>
      </c>
    </row>
    <row r="46" spans="1:8">
      <c r="C46" s="56"/>
      <c r="D46" s="56"/>
      <c r="E46" s="56"/>
      <c r="F46" s="56"/>
    </row>
    <row r="47" spans="1:8" ht="13.5" thickBot="1">
      <c r="A47" s="43" t="s">
        <v>250</v>
      </c>
      <c r="B47" s="53"/>
      <c r="C47" s="54">
        <v>69859.72000000003</v>
      </c>
      <c r="D47" s="54">
        <v>0</v>
      </c>
      <c r="E47" s="54">
        <v>-69859.72000000003</v>
      </c>
      <c r="F47" s="54">
        <v>3.3333315514028072E-5</v>
      </c>
      <c r="G47" s="304">
        <f>G16-G45</f>
        <v>3.3333315514028072E-5</v>
      </c>
    </row>
    <row r="48" spans="1:8" ht="13.5" thickTop="1"/>
  </sheetData>
  <mergeCells count="2">
    <mergeCell ref="A4:F4"/>
    <mergeCell ref="A7:F7"/>
  </mergeCells>
  <pageMargins left="0.7" right="0.7" top="0.75" bottom="0.75" header="0.3" footer="0.3"/>
  <pageSetup scale="9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A25" sqref="A25"/>
    </sheetView>
  </sheetViews>
  <sheetFormatPr defaultRowHeight="12.75"/>
  <cols>
    <col min="3" max="3" width="8.7109375" style="66"/>
    <col min="4" max="4" width="12.42578125" style="59" bestFit="1" customWidth="1"/>
  </cols>
  <sheetData>
    <row r="1" spans="1:5">
      <c r="A1" s="22" t="s">
        <v>1714</v>
      </c>
    </row>
    <row r="4" spans="1:5">
      <c r="A4" s="31" t="s">
        <v>1078</v>
      </c>
      <c r="D4" s="59">
        <v>-1000000</v>
      </c>
      <c r="E4" t="s">
        <v>1080</v>
      </c>
    </row>
    <row r="6" spans="1:5">
      <c r="A6" t="s">
        <v>1083</v>
      </c>
      <c r="D6" s="59">
        <f>'BUD Summary - Dept'!E55</f>
        <v>266254.00617729931</v>
      </c>
      <c r="E6" t="s">
        <v>1084</v>
      </c>
    </row>
    <row r="8" spans="1:5">
      <c r="A8" t="s">
        <v>1083</v>
      </c>
      <c r="D8" s="59">
        <f>SUM('BUD Summary - Band Entities'!D13:D27)</f>
        <v>-151112.30674999961</v>
      </c>
      <c r="E8" t="s">
        <v>1477</v>
      </c>
    </row>
    <row r="10" spans="1:5">
      <c r="A10" t="s">
        <v>1800</v>
      </c>
      <c r="D10" s="59">
        <f>SUM('LTD Summary'!K8:K17)</f>
        <v>1166602.583803056</v>
      </c>
      <c r="E10" t="s">
        <v>1085</v>
      </c>
    </row>
    <row r="12" spans="1:5">
      <c r="A12" t="s">
        <v>1801</v>
      </c>
      <c r="D12" s="59">
        <v>880954</v>
      </c>
    </row>
    <row r="14" spans="1:5">
      <c r="A14" t="s">
        <v>1689</v>
      </c>
      <c r="D14" s="132">
        <v>0</v>
      </c>
    </row>
    <row r="16" spans="1:5">
      <c r="A16" s="31" t="s">
        <v>1081</v>
      </c>
      <c r="D16" s="59">
        <f>D6+D8-D10+D12</f>
        <v>-170506.88437575637</v>
      </c>
    </row>
    <row r="18" spans="1:6">
      <c r="A18" s="31" t="s">
        <v>1082</v>
      </c>
      <c r="D18" s="59">
        <f>D4+D16</f>
        <v>-1170506.8843757564</v>
      </c>
    </row>
    <row r="20" spans="1:6" ht="13.5" thickBot="1">
      <c r="A20" s="31" t="s">
        <v>1080</v>
      </c>
      <c r="D20" s="90">
        <v>-1000000</v>
      </c>
    </row>
    <row r="21" spans="1:6" ht="13.5" thickTop="1"/>
    <row r="22" spans="1:6">
      <c r="A22" t="s">
        <v>1802</v>
      </c>
      <c r="D22" s="59">
        <f>-(D20-D18)</f>
        <v>-170506.88437575637</v>
      </c>
      <c r="F22" t="s">
        <v>1820</v>
      </c>
    </row>
    <row r="24" spans="1:6">
      <c r="A24" t="s">
        <v>1821</v>
      </c>
      <c r="D24" s="59">
        <f>D22+'BUD Summary - Band Entities'!D34</f>
        <v>414666.19412424346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4"/>
  <sheetViews>
    <sheetView zoomScale="150" zoomScaleNormal="150" workbookViewId="0">
      <selection activeCell="H22" sqref="H22"/>
    </sheetView>
  </sheetViews>
  <sheetFormatPr defaultRowHeight="12.75"/>
  <cols>
    <col min="1" max="1" width="46.42578125" bestFit="1" customWidth="1"/>
    <col min="2" max="2" width="8.7109375" customWidth="1"/>
    <col min="3" max="5" width="14.28515625" hidden="1" customWidth="1"/>
    <col min="6" max="6" width="14.28515625" customWidth="1"/>
    <col min="7" max="7" width="10.7109375" style="59" bestFit="1" customWidth="1"/>
    <col min="8" max="8" width="42.7109375" style="84" bestFit="1" customWidth="1"/>
    <col min="256" max="256" width="46.42578125" bestFit="1" customWidth="1"/>
    <col min="257" max="257" width="8.7109375" customWidth="1"/>
    <col min="258" max="262" width="14.28515625" customWidth="1"/>
    <col min="512" max="512" width="46.42578125" bestFit="1" customWidth="1"/>
    <col min="513" max="513" width="8.7109375" customWidth="1"/>
    <col min="514" max="518" width="14.28515625" customWidth="1"/>
    <col min="768" max="768" width="46.42578125" bestFit="1" customWidth="1"/>
    <col min="769" max="769" width="8.7109375" customWidth="1"/>
    <col min="770" max="774" width="14.28515625" customWidth="1"/>
    <col min="1024" max="1024" width="46.42578125" bestFit="1" customWidth="1"/>
    <col min="1025" max="1025" width="8.7109375" customWidth="1"/>
    <col min="1026" max="1030" width="14.28515625" customWidth="1"/>
    <col min="1280" max="1280" width="46.42578125" bestFit="1" customWidth="1"/>
    <col min="1281" max="1281" width="8.7109375" customWidth="1"/>
    <col min="1282" max="1286" width="14.28515625" customWidth="1"/>
    <col min="1536" max="1536" width="46.42578125" bestFit="1" customWidth="1"/>
    <col min="1537" max="1537" width="8.7109375" customWidth="1"/>
    <col min="1538" max="1542" width="14.28515625" customWidth="1"/>
    <col min="1792" max="1792" width="46.42578125" bestFit="1" customWidth="1"/>
    <col min="1793" max="1793" width="8.7109375" customWidth="1"/>
    <col min="1794" max="1798" width="14.28515625" customWidth="1"/>
    <col min="2048" max="2048" width="46.42578125" bestFit="1" customWidth="1"/>
    <col min="2049" max="2049" width="8.7109375" customWidth="1"/>
    <col min="2050" max="2054" width="14.28515625" customWidth="1"/>
    <col min="2304" max="2304" width="46.42578125" bestFit="1" customWidth="1"/>
    <col min="2305" max="2305" width="8.7109375" customWidth="1"/>
    <col min="2306" max="2310" width="14.28515625" customWidth="1"/>
    <col min="2560" max="2560" width="46.42578125" bestFit="1" customWidth="1"/>
    <col min="2561" max="2561" width="8.7109375" customWidth="1"/>
    <col min="2562" max="2566" width="14.28515625" customWidth="1"/>
    <col min="2816" max="2816" width="46.42578125" bestFit="1" customWidth="1"/>
    <col min="2817" max="2817" width="8.7109375" customWidth="1"/>
    <col min="2818" max="2822" width="14.28515625" customWidth="1"/>
    <col min="3072" max="3072" width="46.42578125" bestFit="1" customWidth="1"/>
    <col min="3073" max="3073" width="8.7109375" customWidth="1"/>
    <col min="3074" max="3078" width="14.28515625" customWidth="1"/>
    <col min="3328" max="3328" width="46.42578125" bestFit="1" customWidth="1"/>
    <col min="3329" max="3329" width="8.7109375" customWidth="1"/>
    <col min="3330" max="3334" width="14.28515625" customWidth="1"/>
    <col min="3584" max="3584" width="46.42578125" bestFit="1" customWidth="1"/>
    <col min="3585" max="3585" width="8.7109375" customWidth="1"/>
    <col min="3586" max="3590" width="14.28515625" customWidth="1"/>
    <col min="3840" max="3840" width="46.42578125" bestFit="1" customWidth="1"/>
    <col min="3841" max="3841" width="8.7109375" customWidth="1"/>
    <col min="3842" max="3846" width="14.28515625" customWidth="1"/>
    <col min="4096" max="4096" width="46.42578125" bestFit="1" customWidth="1"/>
    <col min="4097" max="4097" width="8.7109375" customWidth="1"/>
    <col min="4098" max="4102" width="14.28515625" customWidth="1"/>
    <col min="4352" max="4352" width="46.42578125" bestFit="1" customWidth="1"/>
    <col min="4353" max="4353" width="8.7109375" customWidth="1"/>
    <col min="4354" max="4358" width="14.28515625" customWidth="1"/>
    <col min="4608" max="4608" width="46.42578125" bestFit="1" customWidth="1"/>
    <col min="4609" max="4609" width="8.7109375" customWidth="1"/>
    <col min="4610" max="4614" width="14.28515625" customWidth="1"/>
    <col min="4864" max="4864" width="46.42578125" bestFit="1" customWidth="1"/>
    <col min="4865" max="4865" width="8.7109375" customWidth="1"/>
    <col min="4866" max="4870" width="14.28515625" customWidth="1"/>
    <col min="5120" max="5120" width="46.42578125" bestFit="1" customWidth="1"/>
    <col min="5121" max="5121" width="8.7109375" customWidth="1"/>
    <col min="5122" max="5126" width="14.28515625" customWidth="1"/>
    <col min="5376" max="5376" width="46.42578125" bestFit="1" customWidth="1"/>
    <col min="5377" max="5377" width="8.7109375" customWidth="1"/>
    <col min="5378" max="5382" width="14.28515625" customWidth="1"/>
    <col min="5632" max="5632" width="46.42578125" bestFit="1" customWidth="1"/>
    <col min="5633" max="5633" width="8.7109375" customWidth="1"/>
    <col min="5634" max="5638" width="14.28515625" customWidth="1"/>
    <col min="5888" max="5888" width="46.42578125" bestFit="1" customWidth="1"/>
    <col min="5889" max="5889" width="8.7109375" customWidth="1"/>
    <col min="5890" max="5894" width="14.28515625" customWidth="1"/>
    <col min="6144" max="6144" width="46.42578125" bestFit="1" customWidth="1"/>
    <col min="6145" max="6145" width="8.7109375" customWidth="1"/>
    <col min="6146" max="6150" width="14.28515625" customWidth="1"/>
    <col min="6400" max="6400" width="46.42578125" bestFit="1" customWidth="1"/>
    <col min="6401" max="6401" width="8.7109375" customWidth="1"/>
    <col min="6402" max="6406" width="14.28515625" customWidth="1"/>
    <col min="6656" max="6656" width="46.42578125" bestFit="1" customWidth="1"/>
    <col min="6657" max="6657" width="8.7109375" customWidth="1"/>
    <col min="6658" max="6662" width="14.28515625" customWidth="1"/>
    <col min="6912" max="6912" width="46.42578125" bestFit="1" customWidth="1"/>
    <col min="6913" max="6913" width="8.7109375" customWidth="1"/>
    <col min="6914" max="6918" width="14.28515625" customWidth="1"/>
    <col min="7168" max="7168" width="46.42578125" bestFit="1" customWidth="1"/>
    <col min="7169" max="7169" width="8.7109375" customWidth="1"/>
    <col min="7170" max="7174" width="14.28515625" customWidth="1"/>
    <col min="7424" max="7424" width="46.42578125" bestFit="1" customWidth="1"/>
    <col min="7425" max="7425" width="8.7109375" customWidth="1"/>
    <col min="7426" max="7430" width="14.28515625" customWidth="1"/>
    <col min="7680" max="7680" width="46.42578125" bestFit="1" customWidth="1"/>
    <col min="7681" max="7681" width="8.7109375" customWidth="1"/>
    <col min="7682" max="7686" width="14.28515625" customWidth="1"/>
    <col min="7936" max="7936" width="46.42578125" bestFit="1" customWidth="1"/>
    <col min="7937" max="7937" width="8.7109375" customWidth="1"/>
    <col min="7938" max="7942" width="14.28515625" customWidth="1"/>
    <col min="8192" max="8192" width="46.42578125" bestFit="1" customWidth="1"/>
    <col min="8193" max="8193" width="8.7109375" customWidth="1"/>
    <col min="8194" max="8198" width="14.28515625" customWidth="1"/>
    <col min="8448" max="8448" width="46.42578125" bestFit="1" customWidth="1"/>
    <col min="8449" max="8449" width="8.7109375" customWidth="1"/>
    <col min="8450" max="8454" width="14.28515625" customWidth="1"/>
    <col min="8704" max="8704" width="46.42578125" bestFit="1" customWidth="1"/>
    <col min="8705" max="8705" width="8.7109375" customWidth="1"/>
    <col min="8706" max="8710" width="14.28515625" customWidth="1"/>
    <col min="8960" max="8960" width="46.42578125" bestFit="1" customWidth="1"/>
    <col min="8961" max="8961" width="8.7109375" customWidth="1"/>
    <col min="8962" max="8966" width="14.28515625" customWidth="1"/>
    <col min="9216" max="9216" width="46.42578125" bestFit="1" customWidth="1"/>
    <col min="9217" max="9217" width="8.7109375" customWidth="1"/>
    <col min="9218" max="9222" width="14.28515625" customWidth="1"/>
    <col min="9472" max="9472" width="46.42578125" bestFit="1" customWidth="1"/>
    <col min="9473" max="9473" width="8.7109375" customWidth="1"/>
    <col min="9474" max="9478" width="14.28515625" customWidth="1"/>
    <col min="9728" max="9728" width="46.42578125" bestFit="1" customWidth="1"/>
    <col min="9729" max="9729" width="8.7109375" customWidth="1"/>
    <col min="9730" max="9734" width="14.28515625" customWidth="1"/>
    <col min="9984" max="9984" width="46.42578125" bestFit="1" customWidth="1"/>
    <col min="9985" max="9985" width="8.7109375" customWidth="1"/>
    <col min="9986" max="9990" width="14.28515625" customWidth="1"/>
    <col min="10240" max="10240" width="46.42578125" bestFit="1" customWidth="1"/>
    <col min="10241" max="10241" width="8.7109375" customWidth="1"/>
    <col min="10242" max="10246" width="14.28515625" customWidth="1"/>
    <col min="10496" max="10496" width="46.42578125" bestFit="1" customWidth="1"/>
    <col min="10497" max="10497" width="8.7109375" customWidth="1"/>
    <col min="10498" max="10502" width="14.28515625" customWidth="1"/>
    <col min="10752" max="10752" width="46.42578125" bestFit="1" customWidth="1"/>
    <col min="10753" max="10753" width="8.7109375" customWidth="1"/>
    <col min="10754" max="10758" width="14.28515625" customWidth="1"/>
    <col min="11008" max="11008" width="46.42578125" bestFit="1" customWidth="1"/>
    <col min="11009" max="11009" width="8.7109375" customWidth="1"/>
    <col min="11010" max="11014" width="14.28515625" customWidth="1"/>
    <col min="11264" max="11264" width="46.42578125" bestFit="1" customWidth="1"/>
    <col min="11265" max="11265" width="8.7109375" customWidth="1"/>
    <col min="11266" max="11270" width="14.28515625" customWidth="1"/>
    <col min="11520" max="11520" width="46.42578125" bestFit="1" customWidth="1"/>
    <col min="11521" max="11521" width="8.7109375" customWidth="1"/>
    <col min="11522" max="11526" width="14.28515625" customWidth="1"/>
    <col min="11776" max="11776" width="46.42578125" bestFit="1" customWidth="1"/>
    <col min="11777" max="11777" width="8.7109375" customWidth="1"/>
    <col min="11778" max="11782" width="14.28515625" customWidth="1"/>
    <col min="12032" max="12032" width="46.42578125" bestFit="1" customWidth="1"/>
    <col min="12033" max="12033" width="8.7109375" customWidth="1"/>
    <col min="12034" max="12038" width="14.28515625" customWidth="1"/>
    <col min="12288" max="12288" width="46.42578125" bestFit="1" customWidth="1"/>
    <col min="12289" max="12289" width="8.7109375" customWidth="1"/>
    <col min="12290" max="12294" width="14.28515625" customWidth="1"/>
    <col min="12544" max="12544" width="46.42578125" bestFit="1" customWidth="1"/>
    <col min="12545" max="12545" width="8.7109375" customWidth="1"/>
    <col min="12546" max="12550" width="14.28515625" customWidth="1"/>
    <col min="12800" max="12800" width="46.42578125" bestFit="1" customWidth="1"/>
    <col min="12801" max="12801" width="8.7109375" customWidth="1"/>
    <col min="12802" max="12806" width="14.28515625" customWidth="1"/>
    <col min="13056" max="13056" width="46.42578125" bestFit="1" customWidth="1"/>
    <col min="13057" max="13057" width="8.7109375" customWidth="1"/>
    <col min="13058" max="13062" width="14.28515625" customWidth="1"/>
    <col min="13312" max="13312" width="46.42578125" bestFit="1" customWidth="1"/>
    <col min="13313" max="13313" width="8.7109375" customWidth="1"/>
    <col min="13314" max="13318" width="14.28515625" customWidth="1"/>
    <col min="13568" max="13568" width="46.42578125" bestFit="1" customWidth="1"/>
    <col min="13569" max="13569" width="8.7109375" customWidth="1"/>
    <col min="13570" max="13574" width="14.28515625" customWidth="1"/>
    <col min="13824" max="13824" width="46.42578125" bestFit="1" customWidth="1"/>
    <col min="13825" max="13825" width="8.7109375" customWidth="1"/>
    <col min="13826" max="13830" width="14.28515625" customWidth="1"/>
    <col min="14080" max="14080" width="46.42578125" bestFit="1" customWidth="1"/>
    <col min="14081" max="14081" width="8.7109375" customWidth="1"/>
    <col min="14082" max="14086" width="14.28515625" customWidth="1"/>
    <col min="14336" max="14336" width="46.42578125" bestFit="1" customWidth="1"/>
    <col min="14337" max="14337" width="8.7109375" customWidth="1"/>
    <col min="14338" max="14342" width="14.28515625" customWidth="1"/>
    <col min="14592" max="14592" width="46.42578125" bestFit="1" customWidth="1"/>
    <col min="14593" max="14593" width="8.7109375" customWidth="1"/>
    <col min="14594" max="14598" width="14.28515625" customWidth="1"/>
    <col min="14848" max="14848" width="46.42578125" bestFit="1" customWidth="1"/>
    <col min="14849" max="14849" width="8.7109375" customWidth="1"/>
    <col min="14850" max="14854" width="14.28515625" customWidth="1"/>
    <col min="15104" max="15104" width="46.42578125" bestFit="1" customWidth="1"/>
    <col min="15105" max="15105" width="8.7109375" customWidth="1"/>
    <col min="15106" max="15110" width="14.28515625" customWidth="1"/>
    <col min="15360" max="15360" width="46.42578125" bestFit="1" customWidth="1"/>
    <col min="15361" max="15361" width="8.7109375" customWidth="1"/>
    <col min="15362" max="15366" width="14.28515625" customWidth="1"/>
    <col min="15616" max="15616" width="46.42578125" bestFit="1" customWidth="1"/>
    <col min="15617" max="15617" width="8.7109375" customWidth="1"/>
    <col min="15618" max="15622" width="14.28515625" customWidth="1"/>
    <col min="15872" max="15872" width="46.42578125" bestFit="1" customWidth="1"/>
    <col min="15873" max="15873" width="8.7109375" customWidth="1"/>
    <col min="15874" max="15878" width="14.28515625" customWidth="1"/>
    <col min="16128" max="16128" width="46.42578125" bestFit="1" customWidth="1"/>
    <col min="16129" max="16129" width="8.7109375" customWidth="1"/>
    <col min="16130" max="16134" width="14.28515625" customWidth="1"/>
  </cols>
  <sheetData>
    <row r="3" spans="1:8" ht="15">
      <c r="A3" s="35" t="s">
        <v>1825</v>
      </c>
      <c r="B3" s="34"/>
      <c r="C3" s="34"/>
      <c r="D3" s="34"/>
      <c r="E3" s="34"/>
      <c r="F3" s="34"/>
    </row>
    <row r="4" spans="1:8" ht="15">
      <c r="A4" s="341" t="s">
        <v>757</v>
      </c>
      <c r="B4" s="341"/>
      <c r="C4" s="341"/>
      <c r="D4" s="341"/>
      <c r="E4" s="341"/>
      <c r="F4" s="341"/>
    </row>
    <row r="5" spans="1:8" ht="15" hidden="1">
      <c r="A5" s="36" t="s">
        <v>54</v>
      </c>
      <c r="B5" s="34"/>
      <c r="C5" s="34"/>
      <c r="D5" s="34"/>
      <c r="E5" s="34"/>
      <c r="F5" s="34"/>
    </row>
    <row r="6" spans="1:8" hidden="1">
      <c r="A6" s="37" t="s">
        <v>54</v>
      </c>
      <c r="B6" s="34"/>
      <c r="C6" s="34"/>
      <c r="D6" s="34"/>
      <c r="E6" s="34"/>
      <c r="F6" s="34"/>
    </row>
    <row r="7" spans="1:8" hidden="1">
      <c r="A7" s="342">
        <v>42460</v>
      </c>
      <c r="B7" s="342"/>
      <c r="C7" s="342"/>
      <c r="D7" s="342"/>
      <c r="E7" s="342"/>
      <c r="F7" s="342"/>
    </row>
    <row r="8" spans="1:8">
      <c r="A8" s="38"/>
      <c r="B8" s="38"/>
      <c r="C8" s="38"/>
      <c r="D8" s="38"/>
      <c r="E8" s="38"/>
      <c r="F8" s="38"/>
    </row>
    <row r="9" spans="1:8" ht="13.5" thickBot="1">
      <c r="C9" s="17" t="s">
        <v>251</v>
      </c>
      <c r="D9" s="17" t="s">
        <v>251</v>
      </c>
      <c r="E9" s="17" t="s">
        <v>251</v>
      </c>
      <c r="F9" s="17" t="s">
        <v>44</v>
      </c>
      <c r="G9" s="248" t="s">
        <v>1701</v>
      </c>
    </row>
    <row r="10" spans="1:8" ht="13.5" thickTop="1">
      <c r="A10" s="39"/>
      <c r="B10" s="40"/>
      <c r="C10" s="41" t="s">
        <v>55</v>
      </c>
      <c r="D10" s="41" t="s">
        <v>55</v>
      </c>
      <c r="E10" s="41" t="s">
        <v>55</v>
      </c>
      <c r="F10" s="41"/>
      <c r="G10" s="61"/>
    </row>
    <row r="11" spans="1:8" ht="13.5" thickBot="1">
      <c r="A11" s="42"/>
      <c r="B11" s="43"/>
      <c r="C11" s="44" t="s">
        <v>58</v>
      </c>
      <c r="D11" s="44" t="s">
        <v>57</v>
      </c>
      <c r="E11" s="44" t="s">
        <v>59</v>
      </c>
      <c r="F11" s="44" t="s">
        <v>57</v>
      </c>
      <c r="G11" s="62" t="s">
        <v>57</v>
      </c>
      <c r="H11" s="55" t="s">
        <v>252</v>
      </c>
    </row>
    <row r="12" spans="1:8" ht="13.5" thickTop="1">
      <c r="A12" s="45" t="s">
        <v>60</v>
      </c>
      <c r="B12" s="46"/>
      <c r="C12" s="47"/>
      <c r="D12" s="47"/>
      <c r="E12" s="47"/>
      <c r="F12" s="47"/>
    </row>
    <row r="13" spans="1:8">
      <c r="A13" s="30" t="s">
        <v>758</v>
      </c>
      <c r="B13" s="30" t="s">
        <v>759</v>
      </c>
      <c r="C13" s="56">
        <v>43886.44</v>
      </c>
      <c r="D13" s="56">
        <v>175545.72</v>
      </c>
      <c r="E13" s="56">
        <v>131659.28</v>
      </c>
      <c r="F13" s="56">
        <v>175545.72</v>
      </c>
      <c r="G13" s="59">
        <f>F13</f>
        <v>175545.72</v>
      </c>
      <c r="H13" s="84" t="s">
        <v>1074</v>
      </c>
    </row>
    <row r="14" spans="1:8">
      <c r="A14" s="30" t="s">
        <v>760</v>
      </c>
      <c r="B14" s="30" t="s">
        <v>761</v>
      </c>
      <c r="C14" s="56">
        <v>1309.68</v>
      </c>
      <c r="D14" s="56">
        <v>0</v>
      </c>
      <c r="E14" s="56">
        <v>-1309.68</v>
      </c>
      <c r="F14" s="56">
        <v>0</v>
      </c>
      <c r="G14" s="59">
        <v>0</v>
      </c>
    </row>
    <row r="15" spans="1:8">
      <c r="A15" s="30"/>
      <c r="B15" s="30"/>
      <c r="C15" s="56"/>
      <c r="D15" s="56"/>
      <c r="E15" s="56"/>
      <c r="F15" s="56"/>
    </row>
    <row r="16" spans="1:8">
      <c r="A16" s="49" t="s">
        <v>115</v>
      </c>
      <c r="B16" s="50"/>
      <c r="C16" s="57">
        <v>45196.12</v>
      </c>
      <c r="D16" s="57">
        <v>175545.72</v>
      </c>
      <c r="E16" s="57">
        <v>130349.6</v>
      </c>
      <c r="F16" s="57">
        <v>175545.72</v>
      </c>
      <c r="G16" s="75">
        <f>SUM(G13:G14)</f>
        <v>175545.72</v>
      </c>
    </row>
    <row r="17" spans="1:8">
      <c r="A17" s="46"/>
      <c r="C17" s="56"/>
      <c r="D17" s="56"/>
      <c r="E17" s="56"/>
      <c r="F17" s="56"/>
    </row>
    <row r="18" spans="1:8">
      <c r="A18" s="45" t="s">
        <v>116</v>
      </c>
      <c r="C18" s="56"/>
      <c r="D18" s="56"/>
      <c r="E18" s="56"/>
      <c r="F18" s="56"/>
    </row>
    <row r="19" spans="1:8">
      <c r="A19" s="30" t="s">
        <v>762</v>
      </c>
      <c r="B19" s="30" t="s">
        <v>763</v>
      </c>
      <c r="C19" s="56">
        <v>0</v>
      </c>
      <c r="D19" s="56">
        <v>27372.799999999999</v>
      </c>
      <c r="E19" s="56">
        <v>27372.799999999999</v>
      </c>
      <c r="F19" s="56">
        <v>7000</v>
      </c>
      <c r="G19" s="59">
        <v>7000</v>
      </c>
    </row>
    <row r="20" spans="1:8">
      <c r="A20" s="30" t="s">
        <v>764</v>
      </c>
      <c r="B20" s="30" t="s">
        <v>765</v>
      </c>
      <c r="C20" s="56">
        <v>556.05999999999995</v>
      </c>
      <c r="D20" s="56">
        <v>2700</v>
      </c>
      <c r="E20" s="56">
        <v>2143.94</v>
      </c>
      <c r="F20" s="56">
        <v>741.4133333333333</v>
      </c>
      <c r="G20" s="59">
        <f>C20/9*12</f>
        <v>741.4133333333333</v>
      </c>
    </row>
    <row r="21" spans="1:8">
      <c r="A21" s="30" t="s">
        <v>1858</v>
      </c>
      <c r="B21" s="30" t="s">
        <v>766</v>
      </c>
      <c r="C21" s="56">
        <v>994.82</v>
      </c>
      <c r="D21" s="56">
        <v>0</v>
      </c>
      <c r="E21" s="56">
        <v>-994.82</v>
      </c>
      <c r="F21" s="56">
        <v>1326.4266666666667</v>
      </c>
      <c r="G21" s="59">
        <f>C21/9*12</f>
        <v>1326.4266666666667</v>
      </c>
    </row>
    <row r="22" spans="1:8">
      <c r="A22" s="30" t="s">
        <v>767</v>
      </c>
      <c r="B22" s="30" t="s">
        <v>768</v>
      </c>
      <c r="C22" s="56">
        <v>24839.38</v>
      </c>
      <c r="D22" s="56">
        <v>25000</v>
      </c>
      <c r="E22" s="56">
        <v>-27941.230000000003</v>
      </c>
      <c r="F22" s="56">
        <v>20000</v>
      </c>
      <c r="G22" s="59">
        <v>20000</v>
      </c>
    </row>
    <row r="23" spans="1:8">
      <c r="A23" s="30" t="s">
        <v>754</v>
      </c>
      <c r="B23" s="30" t="s">
        <v>769</v>
      </c>
      <c r="C23" s="56">
        <v>24194.27</v>
      </c>
      <c r="D23" s="56">
        <v>50000</v>
      </c>
      <c r="E23" s="56">
        <v>25805.73</v>
      </c>
      <c r="F23" s="56">
        <v>83095</v>
      </c>
      <c r="G23" s="59">
        <f>8000+33486+13064+28545</f>
        <v>83095</v>
      </c>
    </row>
    <row r="24" spans="1:8">
      <c r="A24" s="30" t="s">
        <v>770</v>
      </c>
      <c r="B24" s="30" t="s">
        <v>771</v>
      </c>
      <c r="C24" s="56">
        <v>203</v>
      </c>
      <c r="D24" s="56">
        <v>0</v>
      </c>
      <c r="E24" s="56">
        <v>-203</v>
      </c>
      <c r="F24" s="56">
        <v>0</v>
      </c>
      <c r="G24" s="59">
        <v>0</v>
      </c>
    </row>
    <row r="25" spans="1:8">
      <c r="A25" s="30" t="s">
        <v>772</v>
      </c>
      <c r="B25" s="30" t="s">
        <v>773</v>
      </c>
      <c r="C25" s="56">
        <v>0</v>
      </c>
      <c r="D25" s="56">
        <v>5000</v>
      </c>
      <c r="E25" s="56">
        <v>5000</v>
      </c>
      <c r="F25" s="56">
        <v>0</v>
      </c>
      <c r="G25" s="59">
        <v>0</v>
      </c>
    </row>
    <row r="26" spans="1:8">
      <c r="A26" s="30" t="s">
        <v>742</v>
      </c>
      <c r="B26" s="30" t="s">
        <v>774</v>
      </c>
      <c r="C26" s="56">
        <v>0</v>
      </c>
      <c r="D26" s="56">
        <v>40000</v>
      </c>
      <c r="E26" s="56">
        <v>40000</v>
      </c>
      <c r="F26" s="56">
        <v>46500</v>
      </c>
      <c r="G26" s="59">
        <v>46500</v>
      </c>
    </row>
    <row r="27" spans="1:8">
      <c r="A27" s="30" t="s">
        <v>775</v>
      </c>
      <c r="B27" s="30" t="s">
        <v>776</v>
      </c>
      <c r="C27" s="56">
        <v>842.68</v>
      </c>
      <c r="D27" s="56">
        <v>1472.92</v>
      </c>
      <c r="E27" s="56">
        <v>630.24000000000012</v>
      </c>
      <c r="F27" s="56">
        <v>3000</v>
      </c>
      <c r="G27" s="59">
        <v>3000</v>
      </c>
    </row>
    <row r="28" spans="1:8">
      <c r="A28" s="30" t="s">
        <v>750</v>
      </c>
      <c r="B28" s="30" t="s">
        <v>1073</v>
      </c>
      <c r="C28" s="56"/>
      <c r="D28" s="56"/>
      <c r="E28" s="56"/>
      <c r="F28" s="56">
        <v>13882.88</v>
      </c>
      <c r="G28" s="59">
        <f>11700+2183-0.12</f>
        <v>13882.88</v>
      </c>
      <c r="H28" s="84" t="s">
        <v>1072</v>
      </c>
    </row>
    <row r="29" spans="1:8">
      <c r="A29" s="30" t="s">
        <v>777</v>
      </c>
      <c r="B29" s="30" t="s">
        <v>778</v>
      </c>
      <c r="C29" s="56">
        <v>877.6</v>
      </c>
      <c r="D29" s="56">
        <v>0</v>
      </c>
      <c r="E29" s="56">
        <v>-877.6</v>
      </c>
      <c r="F29" s="56"/>
    </row>
    <row r="30" spans="1:8">
      <c r="C30" s="56"/>
      <c r="D30" s="56"/>
      <c r="E30" s="56"/>
      <c r="F30" s="56"/>
    </row>
    <row r="31" spans="1:8">
      <c r="A31" s="49" t="s">
        <v>249</v>
      </c>
      <c r="B31" s="52"/>
      <c r="C31" s="57">
        <v>80609.66</v>
      </c>
      <c r="D31" s="57">
        <v>175545.72</v>
      </c>
      <c r="E31" s="57">
        <v>94936.06</v>
      </c>
      <c r="F31" s="57">
        <v>175545.72</v>
      </c>
      <c r="G31" s="75">
        <f>SUM(G19:G29)</f>
        <v>175545.72</v>
      </c>
    </row>
    <row r="32" spans="1:8">
      <c r="C32" s="56"/>
      <c r="D32" s="56"/>
      <c r="E32" s="56"/>
      <c r="F32" s="56"/>
    </row>
    <row r="33" spans="1:7" ht="13.5" thickBot="1">
      <c r="A33" s="43" t="s">
        <v>250</v>
      </c>
      <c r="B33" s="53"/>
      <c r="C33" s="54">
        <v>-35413.54</v>
      </c>
      <c r="D33" s="54">
        <v>0</v>
      </c>
      <c r="E33" s="54">
        <v>35413.540000000008</v>
      </c>
      <c r="F33" s="54">
        <v>0</v>
      </c>
      <c r="G33" s="73">
        <f>G16-G31</f>
        <v>0</v>
      </c>
    </row>
    <row r="34" spans="1:7" ht="13.5" thickTop="1"/>
  </sheetData>
  <mergeCells count="2">
    <mergeCell ref="A4:F4"/>
    <mergeCell ref="A7:F7"/>
  </mergeCells>
  <pageMargins left="0.7" right="0.7" top="0.75" bottom="0.75" header="0.3" footer="0.3"/>
  <pageSetup orientation="landscape" horizontalDpi="4294967293" vertic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1"/>
  <sheetViews>
    <sheetView zoomScale="150" zoomScaleNormal="150" workbookViewId="0">
      <selection activeCell="A30" sqref="A30"/>
    </sheetView>
  </sheetViews>
  <sheetFormatPr defaultRowHeight="12.75"/>
  <cols>
    <col min="1" max="1" width="46.42578125" bestFit="1" customWidth="1"/>
    <col min="2" max="2" width="8.7109375" customWidth="1"/>
    <col min="3" max="5" width="14.28515625" hidden="1" customWidth="1"/>
    <col min="6" max="6" width="14.28515625" customWidth="1"/>
    <col min="7" max="7" width="12.42578125" style="59" bestFit="1" customWidth="1"/>
    <col min="8" max="8" width="21.7109375" customWidth="1"/>
    <col min="256" max="256" width="46.42578125" bestFit="1" customWidth="1"/>
    <col min="257" max="257" width="8.7109375" customWidth="1"/>
    <col min="258" max="262" width="14.28515625" customWidth="1"/>
    <col min="512" max="512" width="46.42578125" bestFit="1" customWidth="1"/>
    <col min="513" max="513" width="8.7109375" customWidth="1"/>
    <col min="514" max="518" width="14.28515625" customWidth="1"/>
    <col min="768" max="768" width="46.42578125" bestFit="1" customWidth="1"/>
    <col min="769" max="769" width="8.7109375" customWidth="1"/>
    <col min="770" max="774" width="14.28515625" customWidth="1"/>
    <col min="1024" max="1024" width="46.42578125" bestFit="1" customWidth="1"/>
    <col min="1025" max="1025" width="8.7109375" customWidth="1"/>
    <col min="1026" max="1030" width="14.28515625" customWidth="1"/>
    <col min="1280" max="1280" width="46.42578125" bestFit="1" customWidth="1"/>
    <col min="1281" max="1281" width="8.7109375" customWidth="1"/>
    <col min="1282" max="1286" width="14.28515625" customWidth="1"/>
    <col min="1536" max="1536" width="46.42578125" bestFit="1" customWidth="1"/>
    <col min="1537" max="1537" width="8.7109375" customWidth="1"/>
    <col min="1538" max="1542" width="14.28515625" customWidth="1"/>
    <col min="1792" max="1792" width="46.42578125" bestFit="1" customWidth="1"/>
    <col min="1793" max="1793" width="8.7109375" customWidth="1"/>
    <col min="1794" max="1798" width="14.28515625" customWidth="1"/>
    <col min="2048" max="2048" width="46.42578125" bestFit="1" customWidth="1"/>
    <col min="2049" max="2049" width="8.7109375" customWidth="1"/>
    <col min="2050" max="2054" width="14.28515625" customWidth="1"/>
    <col min="2304" max="2304" width="46.42578125" bestFit="1" customWidth="1"/>
    <col min="2305" max="2305" width="8.7109375" customWidth="1"/>
    <col min="2306" max="2310" width="14.28515625" customWidth="1"/>
    <col min="2560" max="2560" width="46.42578125" bestFit="1" customWidth="1"/>
    <col min="2561" max="2561" width="8.7109375" customWidth="1"/>
    <col min="2562" max="2566" width="14.28515625" customWidth="1"/>
    <col min="2816" max="2816" width="46.42578125" bestFit="1" customWidth="1"/>
    <col min="2817" max="2817" width="8.7109375" customWidth="1"/>
    <col min="2818" max="2822" width="14.28515625" customWidth="1"/>
    <col min="3072" max="3072" width="46.42578125" bestFit="1" customWidth="1"/>
    <col min="3073" max="3073" width="8.7109375" customWidth="1"/>
    <col min="3074" max="3078" width="14.28515625" customWidth="1"/>
    <col min="3328" max="3328" width="46.42578125" bestFit="1" customWidth="1"/>
    <col min="3329" max="3329" width="8.7109375" customWidth="1"/>
    <col min="3330" max="3334" width="14.28515625" customWidth="1"/>
    <col min="3584" max="3584" width="46.42578125" bestFit="1" customWidth="1"/>
    <col min="3585" max="3585" width="8.7109375" customWidth="1"/>
    <col min="3586" max="3590" width="14.28515625" customWidth="1"/>
    <col min="3840" max="3840" width="46.42578125" bestFit="1" customWidth="1"/>
    <col min="3841" max="3841" width="8.7109375" customWidth="1"/>
    <col min="3842" max="3846" width="14.28515625" customWidth="1"/>
    <col min="4096" max="4096" width="46.42578125" bestFit="1" customWidth="1"/>
    <col min="4097" max="4097" width="8.7109375" customWidth="1"/>
    <col min="4098" max="4102" width="14.28515625" customWidth="1"/>
    <col min="4352" max="4352" width="46.42578125" bestFit="1" customWidth="1"/>
    <col min="4353" max="4353" width="8.7109375" customWidth="1"/>
    <col min="4354" max="4358" width="14.28515625" customWidth="1"/>
    <col min="4608" max="4608" width="46.42578125" bestFit="1" customWidth="1"/>
    <col min="4609" max="4609" width="8.7109375" customWidth="1"/>
    <col min="4610" max="4614" width="14.28515625" customWidth="1"/>
    <col min="4864" max="4864" width="46.42578125" bestFit="1" customWidth="1"/>
    <col min="4865" max="4865" width="8.7109375" customWidth="1"/>
    <col min="4866" max="4870" width="14.28515625" customWidth="1"/>
    <col min="5120" max="5120" width="46.42578125" bestFit="1" customWidth="1"/>
    <col min="5121" max="5121" width="8.7109375" customWidth="1"/>
    <col min="5122" max="5126" width="14.28515625" customWidth="1"/>
    <col min="5376" max="5376" width="46.42578125" bestFit="1" customWidth="1"/>
    <col min="5377" max="5377" width="8.7109375" customWidth="1"/>
    <col min="5378" max="5382" width="14.28515625" customWidth="1"/>
    <col min="5632" max="5632" width="46.42578125" bestFit="1" customWidth="1"/>
    <col min="5633" max="5633" width="8.7109375" customWidth="1"/>
    <col min="5634" max="5638" width="14.28515625" customWidth="1"/>
    <col min="5888" max="5888" width="46.42578125" bestFit="1" customWidth="1"/>
    <col min="5889" max="5889" width="8.7109375" customWidth="1"/>
    <col min="5890" max="5894" width="14.28515625" customWidth="1"/>
    <col min="6144" max="6144" width="46.42578125" bestFit="1" customWidth="1"/>
    <col min="6145" max="6145" width="8.7109375" customWidth="1"/>
    <col min="6146" max="6150" width="14.28515625" customWidth="1"/>
    <col min="6400" max="6400" width="46.42578125" bestFit="1" customWidth="1"/>
    <col min="6401" max="6401" width="8.7109375" customWidth="1"/>
    <col min="6402" max="6406" width="14.28515625" customWidth="1"/>
    <col min="6656" max="6656" width="46.42578125" bestFit="1" customWidth="1"/>
    <col min="6657" max="6657" width="8.7109375" customWidth="1"/>
    <col min="6658" max="6662" width="14.28515625" customWidth="1"/>
    <col min="6912" max="6912" width="46.42578125" bestFit="1" customWidth="1"/>
    <col min="6913" max="6913" width="8.7109375" customWidth="1"/>
    <col min="6914" max="6918" width="14.28515625" customWidth="1"/>
    <col min="7168" max="7168" width="46.42578125" bestFit="1" customWidth="1"/>
    <col min="7169" max="7169" width="8.7109375" customWidth="1"/>
    <col min="7170" max="7174" width="14.28515625" customWidth="1"/>
    <col min="7424" max="7424" width="46.42578125" bestFit="1" customWidth="1"/>
    <col min="7425" max="7425" width="8.7109375" customWidth="1"/>
    <col min="7426" max="7430" width="14.28515625" customWidth="1"/>
    <col min="7680" max="7680" width="46.42578125" bestFit="1" customWidth="1"/>
    <col min="7681" max="7681" width="8.7109375" customWidth="1"/>
    <col min="7682" max="7686" width="14.28515625" customWidth="1"/>
    <col min="7936" max="7936" width="46.42578125" bestFit="1" customWidth="1"/>
    <col min="7937" max="7937" width="8.7109375" customWidth="1"/>
    <col min="7938" max="7942" width="14.28515625" customWidth="1"/>
    <col min="8192" max="8192" width="46.42578125" bestFit="1" customWidth="1"/>
    <col min="8193" max="8193" width="8.7109375" customWidth="1"/>
    <col min="8194" max="8198" width="14.28515625" customWidth="1"/>
    <col min="8448" max="8448" width="46.42578125" bestFit="1" customWidth="1"/>
    <col min="8449" max="8449" width="8.7109375" customWidth="1"/>
    <col min="8450" max="8454" width="14.28515625" customWidth="1"/>
    <col min="8704" max="8704" width="46.42578125" bestFit="1" customWidth="1"/>
    <col min="8705" max="8705" width="8.7109375" customWidth="1"/>
    <col min="8706" max="8710" width="14.28515625" customWidth="1"/>
    <col min="8960" max="8960" width="46.42578125" bestFit="1" customWidth="1"/>
    <col min="8961" max="8961" width="8.7109375" customWidth="1"/>
    <col min="8962" max="8966" width="14.28515625" customWidth="1"/>
    <col min="9216" max="9216" width="46.42578125" bestFit="1" customWidth="1"/>
    <col min="9217" max="9217" width="8.7109375" customWidth="1"/>
    <col min="9218" max="9222" width="14.28515625" customWidth="1"/>
    <col min="9472" max="9472" width="46.42578125" bestFit="1" customWidth="1"/>
    <col min="9473" max="9473" width="8.7109375" customWidth="1"/>
    <col min="9474" max="9478" width="14.28515625" customWidth="1"/>
    <col min="9728" max="9728" width="46.42578125" bestFit="1" customWidth="1"/>
    <col min="9729" max="9729" width="8.7109375" customWidth="1"/>
    <col min="9730" max="9734" width="14.28515625" customWidth="1"/>
    <col min="9984" max="9984" width="46.42578125" bestFit="1" customWidth="1"/>
    <col min="9985" max="9985" width="8.7109375" customWidth="1"/>
    <col min="9986" max="9990" width="14.28515625" customWidth="1"/>
    <col min="10240" max="10240" width="46.42578125" bestFit="1" customWidth="1"/>
    <col min="10241" max="10241" width="8.7109375" customWidth="1"/>
    <col min="10242" max="10246" width="14.28515625" customWidth="1"/>
    <col min="10496" max="10496" width="46.42578125" bestFit="1" customWidth="1"/>
    <col min="10497" max="10497" width="8.7109375" customWidth="1"/>
    <col min="10498" max="10502" width="14.28515625" customWidth="1"/>
    <col min="10752" max="10752" width="46.42578125" bestFit="1" customWidth="1"/>
    <col min="10753" max="10753" width="8.7109375" customWidth="1"/>
    <col min="10754" max="10758" width="14.28515625" customWidth="1"/>
    <col min="11008" max="11008" width="46.42578125" bestFit="1" customWidth="1"/>
    <col min="11009" max="11009" width="8.7109375" customWidth="1"/>
    <col min="11010" max="11014" width="14.28515625" customWidth="1"/>
    <col min="11264" max="11264" width="46.42578125" bestFit="1" customWidth="1"/>
    <col min="11265" max="11265" width="8.7109375" customWidth="1"/>
    <col min="11266" max="11270" width="14.28515625" customWidth="1"/>
    <col min="11520" max="11520" width="46.42578125" bestFit="1" customWidth="1"/>
    <col min="11521" max="11521" width="8.7109375" customWidth="1"/>
    <col min="11522" max="11526" width="14.28515625" customWidth="1"/>
    <col min="11776" max="11776" width="46.42578125" bestFit="1" customWidth="1"/>
    <col min="11777" max="11777" width="8.7109375" customWidth="1"/>
    <col min="11778" max="11782" width="14.28515625" customWidth="1"/>
    <col min="12032" max="12032" width="46.42578125" bestFit="1" customWidth="1"/>
    <col min="12033" max="12033" width="8.7109375" customWidth="1"/>
    <col min="12034" max="12038" width="14.28515625" customWidth="1"/>
    <col min="12288" max="12288" width="46.42578125" bestFit="1" customWidth="1"/>
    <col min="12289" max="12289" width="8.7109375" customWidth="1"/>
    <col min="12290" max="12294" width="14.28515625" customWidth="1"/>
    <col min="12544" max="12544" width="46.42578125" bestFit="1" customWidth="1"/>
    <col min="12545" max="12545" width="8.7109375" customWidth="1"/>
    <col min="12546" max="12550" width="14.28515625" customWidth="1"/>
    <col min="12800" max="12800" width="46.42578125" bestFit="1" customWidth="1"/>
    <col min="12801" max="12801" width="8.7109375" customWidth="1"/>
    <col min="12802" max="12806" width="14.28515625" customWidth="1"/>
    <col min="13056" max="13056" width="46.42578125" bestFit="1" customWidth="1"/>
    <col min="13057" max="13057" width="8.7109375" customWidth="1"/>
    <col min="13058" max="13062" width="14.28515625" customWidth="1"/>
    <col min="13312" max="13312" width="46.42578125" bestFit="1" customWidth="1"/>
    <col min="13313" max="13313" width="8.7109375" customWidth="1"/>
    <col min="13314" max="13318" width="14.28515625" customWidth="1"/>
    <col min="13568" max="13568" width="46.42578125" bestFit="1" customWidth="1"/>
    <col min="13569" max="13569" width="8.7109375" customWidth="1"/>
    <col min="13570" max="13574" width="14.28515625" customWidth="1"/>
    <col min="13824" max="13824" width="46.42578125" bestFit="1" customWidth="1"/>
    <col min="13825" max="13825" width="8.7109375" customWidth="1"/>
    <col min="13826" max="13830" width="14.28515625" customWidth="1"/>
    <col min="14080" max="14080" width="46.42578125" bestFit="1" customWidth="1"/>
    <col min="14081" max="14081" width="8.7109375" customWidth="1"/>
    <col min="14082" max="14086" width="14.28515625" customWidth="1"/>
    <col min="14336" max="14336" width="46.42578125" bestFit="1" customWidth="1"/>
    <col min="14337" max="14337" width="8.7109375" customWidth="1"/>
    <col min="14338" max="14342" width="14.28515625" customWidth="1"/>
    <col min="14592" max="14592" width="46.42578125" bestFit="1" customWidth="1"/>
    <col min="14593" max="14593" width="8.7109375" customWidth="1"/>
    <col min="14594" max="14598" width="14.28515625" customWidth="1"/>
    <col min="14848" max="14848" width="46.42578125" bestFit="1" customWidth="1"/>
    <col min="14849" max="14849" width="8.7109375" customWidth="1"/>
    <col min="14850" max="14854" width="14.28515625" customWidth="1"/>
    <col min="15104" max="15104" width="46.42578125" bestFit="1" customWidth="1"/>
    <col min="15105" max="15105" width="8.7109375" customWidth="1"/>
    <col min="15106" max="15110" width="14.28515625" customWidth="1"/>
    <col min="15360" max="15360" width="46.42578125" bestFit="1" customWidth="1"/>
    <col min="15361" max="15361" width="8.7109375" customWidth="1"/>
    <col min="15362" max="15366" width="14.28515625" customWidth="1"/>
    <col min="15616" max="15616" width="46.42578125" bestFit="1" customWidth="1"/>
    <col min="15617" max="15617" width="8.7109375" customWidth="1"/>
    <col min="15618" max="15622" width="14.28515625" customWidth="1"/>
    <col min="15872" max="15872" width="46.42578125" bestFit="1" customWidth="1"/>
    <col min="15873" max="15873" width="8.7109375" customWidth="1"/>
    <col min="15874" max="15878" width="14.28515625" customWidth="1"/>
    <col min="16128" max="16128" width="46.42578125" bestFit="1" customWidth="1"/>
    <col min="16129" max="16129" width="8.7109375" customWidth="1"/>
    <col min="16130" max="16134" width="14.28515625" customWidth="1"/>
  </cols>
  <sheetData>
    <row r="3" spans="1:8" ht="15">
      <c r="A3" s="35" t="s">
        <v>1825</v>
      </c>
      <c r="B3" s="34"/>
      <c r="C3" s="34"/>
      <c r="D3" s="34"/>
      <c r="E3" s="34"/>
      <c r="F3" s="34"/>
    </row>
    <row r="4" spans="1:8" ht="15">
      <c r="A4" s="341" t="s">
        <v>23</v>
      </c>
      <c r="B4" s="341"/>
      <c r="C4" s="341"/>
      <c r="D4" s="341"/>
      <c r="E4" s="341"/>
      <c r="F4" s="341"/>
    </row>
    <row r="5" spans="1:8" ht="15" hidden="1">
      <c r="A5" s="36" t="s">
        <v>54</v>
      </c>
      <c r="B5" s="34"/>
      <c r="C5" s="34"/>
      <c r="D5" s="34"/>
      <c r="E5" s="34"/>
      <c r="F5" s="34"/>
    </row>
    <row r="6" spans="1:8" hidden="1">
      <c r="A6" s="37" t="s">
        <v>54</v>
      </c>
      <c r="B6" s="34"/>
      <c r="C6" s="34"/>
      <c r="D6" s="34"/>
      <c r="E6" s="34"/>
      <c r="F6" s="34"/>
    </row>
    <row r="7" spans="1:8" hidden="1">
      <c r="A7" s="342">
        <v>42460</v>
      </c>
      <c r="B7" s="342"/>
      <c r="C7" s="342"/>
      <c r="D7" s="342"/>
      <c r="E7" s="342"/>
      <c r="F7" s="342"/>
    </row>
    <row r="8" spans="1:8">
      <c r="A8" s="38"/>
      <c r="B8" s="38"/>
      <c r="C8" s="38"/>
      <c r="D8" s="38"/>
      <c r="E8" s="38"/>
      <c r="F8" s="38"/>
    </row>
    <row r="9" spans="1:8" ht="13.5" thickBot="1">
      <c r="C9" s="17" t="s">
        <v>251</v>
      </c>
      <c r="D9" s="17" t="s">
        <v>251</v>
      </c>
      <c r="E9" s="17" t="s">
        <v>251</v>
      </c>
      <c r="F9" s="17" t="s">
        <v>44</v>
      </c>
      <c r="G9" s="248" t="s">
        <v>1701</v>
      </c>
    </row>
    <row r="10" spans="1:8" ht="13.5" thickTop="1">
      <c r="A10" s="39"/>
      <c r="B10" s="40"/>
      <c r="C10" s="41" t="s">
        <v>55</v>
      </c>
      <c r="D10" s="41" t="s">
        <v>55</v>
      </c>
      <c r="E10" s="41" t="s">
        <v>55</v>
      </c>
      <c r="F10" s="41"/>
      <c r="G10" s="61"/>
    </row>
    <row r="11" spans="1:8" ht="13.5" thickBot="1">
      <c r="A11" s="42"/>
      <c r="B11" s="43"/>
      <c r="C11" s="44" t="s">
        <v>58</v>
      </c>
      <c r="D11" s="44" t="s">
        <v>57</v>
      </c>
      <c r="E11" s="44" t="s">
        <v>59</v>
      </c>
      <c r="F11" s="44" t="s">
        <v>57</v>
      </c>
      <c r="G11" s="62" t="s">
        <v>57</v>
      </c>
      <c r="H11" s="55" t="s">
        <v>252</v>
      </c>
    </row>
    <row r="12" spans="1:8" ht="13.5" thickTop="1">
      <c r="A12" s="45" t="s">
        <v>60</v>
      </c>
      <c r="B12" s="46"/>
      <c r="C12" s="47"/>
      <c r="D12" s="47"/>
      <c r="E12" s="47"/>
      <c r="F12" s="47"/>
    </row>
    <row r="13" spans="1:8">
      <c r="A13" s="30" t="s">
        <v>779</v>
      </c>
      <c r="B13" s="30" t="s">
        <v>780</v>
      </c>
      <c r="C13" s="56">
        <v>0</v>
      </c>
      <c r="D13" s="56">
        <v>2500000</v>
      </c>
      <c r="E13" s="56">
        <v>2500000</v>
      </c>
      <c r="F13" s="56">
        <v>2537499.9999999995</v>
      </c>
      <c r="G13" s="59">
        <f>'Fund Distributions'!K17</f>
        <v>2575562.4999999991</v>
      </c>
    </row>
    <row r="14" spans="1:8">
      <c r="A14" s="30" t="s">
        <v>1859</v>
      </c>
      <c r="B14" s="30" t="s">
        <v>781</v>
      </c>
      <c r="C14" s="56">
        <v>0</v>
      </c>
      <c r="D14" s="56">
        <v>150000</v>
      </c>
      <c r="E14" s="56">
        <v>150000</v>
      </c>
      <c r="F14" s="56">
        <v>150000</v>
      </c>
      <c r="G14" s="59">
        <f>'Fund Distributions'!K48</f>
        <v>150000</v>
      </c>
    </row>
    <row r="15" spans="1:8">
      <c r="A15" s="30"/>
      <c r="B15" s="30"/>
      <c r="C15" s="56"/>
      <c r="D15" s="56"/>
      <c r="E15" s="56"/>
      <c r="F15" s="56"/>
    </row>
    <row r="16" spans="1:8">
      <c r="A16" s="49" t="s">
        <v>115</v>
      </c>
      <c r="B16" s="50"/>
      <c r="C16" s="57">
        <v>0</v>
      </c>
      <c r="D16" s="57">
        <v>2650000</v>
      </c>
      <c r="E16" s="57">
        <v>2650000</v>
      </c>
      <c r="F16" s="57">
        <v>2687499.9999999995</v>
      </c>
      <c r="G16" s="75">
        <f>SUM(G13:G15)</f>
        <v>2725562.4999999991</v>
      </c>
    </row>
    <row r="17" spans="1:8">
      <c r="A17" s="46"/>
      <c r="C17" s="56"/>
      <c r="D17" s="56"/>
      <c r="E17" s="56"/>
      <c r="F17" s="56"/>
    </row>
    <row r="18" spans="1:8">
      <c r="A18" s="45" t="s">
        <v>116</v>
      </c>
      <c r="C18" s="56"/>
      <c r="D18" s="56"/>
      <c r="E18" s="56"/>
      <c r="F18" s="56"/>
    </row>
    <row r="19" spans="1:8">
      <c r="A19" s="30" t="s">
        <v>782</v>
      </c>
      <c r="B19" s="30" t="s">
        <v>783</v>
      </c>
      <c r="C19" s="56">
        <v>77651.600000000006</v>
      </c>
      <c r="D19" s="56">
        <v>100557.08</v>
      </c>
      <c r="E19" s="56">
        <v>22905.479999999996</v>
      </c>
      <c r="F19" s="56">
        <v>100557</v>
      </c>
      <c r="G19" s="59">
        <f>58021.32+46085.34</f>
        <v>104106.66</v>
      </c>
    </row>
    <row r="20" spans="1:8">
      <c r="A20" s="30" t="s">
        <v>784</v>
      </c>
      <c r="B20" s="30" t="s">
        <v>785</v>
      </c>
      <c r="C20" s="56">
        <v>0</v>
      </c>
      <c r="D20" s="56">
        <v>1614154</v>
      </c>
      <c r="E20" s="56">
        <v>1614154</v>
      </c>
      <c r="F20" s="56">
        <v>1646437.08</v>
      </c>
      <c r="G20" s="59">
        <f>F20*1.02</f>
        <v>1679365.8216000001</v>
      </c>
      <c r="H20" t="s">
        <v>1022</v>
      </c>
    </row>
    <row r="21" spans="1:8">
      <c r="A21" s="30" t="s">
        <v>786</v>
      </c>
      <c r="B21" s="30" t="s">
        <v>787</v>
      </c>
      <c r="C21" s="56">
        <v>0</v>
      </c>
      <c r="D21" s="56">
        <v>58400</v>
      </c>
      <c r="E21" s="56">
        <v>58400</v>
      </c>
      <c r="F21" s="56">
        <v>48000</v>
      </c>
      <c r="G21" s="59">
        <f>4000*12</f>
        <v>48000</v>
      </c>
      <c r="H21" t="s">
        <v>1024</v>
      </c>
    </row>
    <row r="22" spans="1:8">
      <c r="A22" s="30" t="s">
        <v>788</v>
      </c>
      <c r="B22" s="30" t="s">
        <v>789</v>
      </c>
      <c r="C22" s="56">
        <v>0</v>
      </c>
      <c r="D22" s="56">
        <v>91064</v>
      </c>
      <c r="E22" s="56">
        <v>91064</v>
      </c>
      <c r="F22" s="56">
        <v>92885.28</v>
      </c>
      <c r="G22" s="63">
        <v>130000</v>
      </c>
    </row>
    <row r="23" spans="1:8">
      <c r="A23" s="30" t="s">
        <v>790</v>
      </c>
      <c r="B23" s="30" t="s">
        <v>791</v>
      </c>
      <c r="C23" s="56">
        <v>0</v>
      </c>
      <c r="D23" s="56">
        <v>150000</v>
      </c>
      <c r="E23" s="56">
        <v>150000</v>
      </c>
      <c r="F23" s="56">
        <v>150000</v>
      </c>
      <c r="G23" s="59">
        <f>G14</f>
        <v>150000</v>
      </c>
    </row>
    <row r="24" spans="1:8">
      <c r="A24" s="30" t="s">
        <v>792</v>
      </c>
      <c r="B24" s="30" t="s">
        <v>793</v>
      </c>
      <c r="C24" s="56">
        <v>0</v>
      </c>
      <c r="D24" s="56">
        <v>4500</v>
      </c>
      <c r="E24" s="56">
        <v>4500</v>
      </c>
      <c r="F24" s="56">
        <v>4500</v>
      </c>
      <c r="G24" s="59">
        <f>F24</f>
        <v>4500</v>
      </c>
    </row>
    <row r="25" spans="1:8">
      <c r="A25" s="30" t="s">
        <v>794</v>
      </c>
      <c r="B25" s="30" t="s">
        <v>795</v>
      </c>
      <c r="C25" s="56">
        <v>1629.46</v>
      </c>
      <c r="D25" s="56">
        <v>2200</v>
      </c>
      <c r="E25" s="56">
        <v>570.54</v>
      </c>
      <c r="F25" s="56">
        <v>2172.6133333333332</v>
      </c>
      <c r="G25" s="59">
        <f>C25/9*12</f>
        <v>2172.6133333333332</v>
      </c>
    </row>
    <row r="26" spans="1:8">
      <c r="A26" s="30" t="s">
        <v>796</v>
      </c>
      <c r="B26" s="30" t="s">
        <v>797</v>
      </c>
      <c r="C26" s="56">
        <v>3182.8</v>
      </c>
      <c r="D26" s="56">
        <v>4000</v>
      </c>
      <c r="E26" s="56">
        <v>817.19999999999982</v>
      </c>
      <c r="F26" s="56">
        <v>4243.7333333333336</v>
      </c>
      <c r="G26" s="59">
        <f>C26/9*12</f>
        <v>4243.7333333333336</v>
      </c>
    </row>
    <row r="27" spans="1:8">
      <c r="A27" s="30" t="s">
        <v>798</v>
      </c>
      <c r="B27" s="30" t="s">
        <v>799</v>
      </c>
      <c r="C27" s="56">
        <v>0</v>
      </c>
      <c r="D27" s="56">
        <v>5800</v>
      </c>
      <c r="E27" s="56">
        <v>5800</v>
      </c>
      <c r="F27" s="56">
        <v>5800</v>
      </c>
      <c r="G27" s="59">
        <f>F27</f>
        <v>5800</v>
      </c>
    </row>
    <row r="28" spans="1:8">
      <c r="A28" s="30" t="s">
        <v>800</v>
      </c>
      <c r="B28" s="30" t="s">
        <v>801</v>
      </c>
      <c r="C28" s="56">
        <v>0</v>
      </c>
      <c r="D28" s="56">
        <v>27000</v>
      </c>
      <c r="E28" s="56">
        <v>27000</v>
      </c>
      <c r="F28" s="56">
        <v>27000</v>
      </c>
      <c r="G28" s="59">
        <f>F28</f>
        <v>27000</v>
      </c>
    </row>
    <row r="29" spans="1:8">
      <c r="A29" s="30" t="s">
        <v>151</v>
      </c>
      <c r="B29" s="30" t="s">
        <v>802</v>
      </c>
      <c r="C29" s="56">
        <v>0</v>
      </c>
      <c r="D29" s="56">
        <v>7500</v>
      </c>
      <c r="E29" s="56">
        <v>7500</v>
      </c>
      <c r="F29" s="56">
        <v>7500</v>
      </c>
      <c r="G29" s="59">
        <f>F29</f>
        <v>7500</v>
      </c>
    </row>
    <row r="30" spans="1:8">
      <c r="A30" s="30" t="s">
        <v>803</v>
      </c>
      <c r="B30" s="30" t="s">
        <v>804</v>
      </c>
      <c r="C30" s="56">
        <v>0</v>
      </c>
      <c r="D30" s="56">
        <v>5000</v>
      </c>
      <c r="E30" s="56">
        <v>5000</v>
      </c>
      <c r="F30" s="56">
        <v>5000</v>
      </c>
      <c r="G30" s="59">
        <f>F30</f>
        <v>5000</v>
      </c>
    </row>
    <row r="31" spans="1:8">
      <c r="A31" s="30" t="s">
        <v>805</v>
      </c>
      <c r="B31" s="30" t="s">
        <v>806</v>
      </c>
      <c r="C31" s="56">
        <v>0</v>
      </c>
      <c r="D31" s="56">
        <v>4000</v>
      </c>
      <c r="E31" s="56">
        <v>4000</v>
      </c>
      <c r="F31" s="56">
        <v>4000</v>
      </c>
      <c r="G31" s="59">
        <f>F31</f>
        <v>4000</v>
      </c>
    </row>
    <row r="32" spans="1:8">
      <c r="A32" s="30" t="s">
        <v>807</v>
      </c>
      <c r="B32" s="30" t="s">
        <v>808</v>
      </c>
      <c r="C32" s="56">
        <v>242.3</v>
      </c>
      <c r="D32" s="56">
        <v>7500</v>
      </c>
      <c r="E32" s="56">
        <v>7257.7</v>
      </c>
      <c r="F32" s="56">
        <v>3500</v>
      </c>
      <c r="G32" s="59">
        <f>3500</f>
        <v>3500</v>
      </c>
    </row>
    <row r="33" spans="1:8">
      <c r="A33" s="30" t="s">
        <v>809</v>
      </c>
      <c r="B33" s="30" t="s">
        <v>810</v>
      </c>
      <c r="C33" s="56">
        <v>0</v>
      </c>
      <c r="D33" s="56">
        <v>475000</v>
      </c>
      <c r="E33" s="56">
        <v>475000</v>
      </c>
      <c r="F33" s="56">
        <v>588000</v>
      </c>
      <c r="G33" s="59">
        <f>49000*12</f>
        <v>588000</v>
      </c>
      <c r="H33" t="s">
        <v>1023</v>
      </c>
    </row>
    <row r="34" spans="1:8">
      <c r="A34" s="30" t="s">
        <v>161</v>
      </c>
      <c r="B34" s="30" t="s">
        <v>811</v>
      </c>
      <c r="C34" s="56">
        <v>0</v>
      </c>
      <c r="D34" s="56">
        <v>2400</v>
      </c>
      <c r="E34" s="56">
        <v>2400</v>
      </c>
      <c r="F34" s="56">
        <v>1200</v>
      </c>
      <c r="G34" s="59">
        <f>1200</f>
        <v>1200</v>
      </c>
    </row>
    <row r="35" spans="1:8">
      <c r="A35" s="30" t="s">
        <v>812</v>
      </c>
      <c r="B35" s="30" t="s">
        <v>813</v>
      </c>
      <c r="C35" s="56">
        <v>0</v>
      </c>
      <c r="D35" s="56">
        <v>4800</v>
      </c>
      <c r="E35" s="56">
        <v>4800</v>
      </c>
      <c r="F35" s="56">
        <v>4800</v>
      </c>
      <c r="G35" s="59">
        <f>F35</f>
        <v>4800</v>
      </c>
    </row>
    <row r="36" spans="1:8">
      <c r="A36" s="30" t="s">
        <v>652</v>
      </c>
      <c r="B36" s="30" t="s">
        <v>814</v>
      </c>
      <c r="C36" s="56">
        <v>0</v>
      </c>
      <c r="D36" s="56">
        <v>6124.92</v>
      </c>
      <c r="E36" s="56">
        <v>6124.92</v>
      </c>
      <c r="F36" s="56">
        <v>1425.83</v>
      </c>
      <c r="G36" s="59">
        <f>1426-0.17</f>
        <v>1425.83</v>
      </c>
    </row>
    <row r="37" spans="1:8">
      <c r="C37" s="56"/>
      <c r="D37" s="56"/>
      <c r="E37" s="56"/>
      <c r="F37" s="56"/>
    </row>
    <row r="38" spans="1:8">
      <c r="A38" s="49" t="s">
        <v>249</v>
      </c>
      <c r="B38" s="52"/>
      <c r="C38" s="57">
        <v>82706.160000000018</v>
      </c>
      <c r="D38" s="57">
        <v>2570000</v>
      </c>
      <c r="E38" s="57">
        <v>2487293.84</v>
      </c>
      <c r="F38" s="57">
        <v>2697021.5366666671</v>
      </c>
      <c r="G38" s="75">
        <f>SUM(G19:G36)</f>
        <v>2770614.6582666668</v>
      </c>
    </row>
    <row r="39" spans="1:8">
      <c r="C39" s="56"/>
      <c r="D39" s="56"/>
      <c r="E39" s="56"/>
      <c r="F39" s="56"/>
    </row>
    <row r="40" spans="1:8" ht="13.5" thickBot="1">
      <c r="A40" s="43" t="s">
        <v>250</v>
      </c>
      <c r="B40" s="53"/>
      <c r="C40" s="54">
        <v>-82706.160000000018</v>
      </c>
      <c r="D40" s="54">
        <v>80000</v>
      </c>
      <c r="E40" s="54">
        <v>162706.16000000015</v>
      </c>
      <c r="F40" s="54">
        <v>-9521.5366666675545</v>
      </c>
      <c r="G40" s="73">
        <f>G16-G38</f>
        <v>-45052.158266667742</v>
      </c>
    </row>
    <row r="41" spans="1:8" ht="13.5" thickTop="1"/>
  </sheetData>
  <mergeCells count="2">
    <mergeCell ref="A4:F4"/>
    <mergeCell ref="A7:F7"/>
  </mergeCells>
  <pageMargins left="0.7" right="0.7" top="0.75" bottom="0.75" header="0.3" footer="0.3"/>
  <pageSetup orientation="landscape" horizontalDpi="4294967293" vertic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47"/>
  <sheetViews>
    <sheetView zoomScale="150" zoomScaleNormal="150" workbookViewId="0">
      <selection activeCell="A4" sqref="A4:F4"/>
    </sheetView>
  </sheetViews>
  <sheetFormatPr defaultRowHeight="12.75"/>
  <cols>
    <col min="1" max="1" width="46.42578125" bestFit="1" customWidth="1"/>
    <col min="2" max="2" width="8.7109375" customWidth="1"/>
    <col min="3" max="5" width="14.28515625" hidden="1" customWidth="1"/>
    <col min="6" max="6" width="14.28515625" customWidth="1"/>
    <col min="7" max="7" width="12.5703125" style="59" customWidth="1"/>
    <col min="8" max="8" width="26.7109375" bestFit="1" customWidth="1"/>
    <col min="256" max="256" width="46.42578125" bestFit="1" customWidth="1"/>
    <col min="257" max="257" width="8.7109375" customWidth="1"/>
    <col min="258" max="262" width="14.28515625" customWidth="1"/>
    <col min="512" max="512" width="46.42578125" bestFit="1" customWidth="1"/>
    <col min="513" max="513" width="8.7109375" customWidth="1"/>
    <col min="514" max="518" width="14.28515625" customWidth="1"/>
    <col min="768" max="768" width="46.42578125" bestFit="1" customWidth="1"/>
    <col min="769" max="769" width="8.7109375" customWidth="1"/>
    <col min="770" max="774" width="14.28515625" customWidth="1"/>
    <col min="1024" max="1024" width="46.42578125" bestFit="1" customWidth="1"/>
    <col min="1025" max="1025" width="8.7109375" customWidth="1"/>
    <col min="1026" max="1030" width="14.28515625" customWidth="1"/>
    <col min="1280" max="1280" width="46.42578125" bestFit="1" customWidth="1"/>
    <col min="1281" max="1281" width="8.7109375" customWidth="1"/>
    <col min="1282" max="1286" width="14.28515625" customWidth="1"/>
    <col min="1536" max="1536" width="46.42578125" bestFit="1" customWidth="1"/>
    <col min="1537" max="1537" width="8.7109375" customWidth="1"/>
    <col min="1538" max="1542" width="14.28515625" customWidth="1"/>
    <col min="1792" max="1792" width="46.42578125" bestFit="1" customWidth="1"/>
    <col min="1793" max="1793" width="8.7109375" customWidth="1"/>
    <col min="1794" max="1798" width="14.28515625" customWidth="1"/>
    <col min="2048" max="2048" width="46.42578125" bestFit="1" customWidth="1"/>
    <col min="2049" max="2049" width="8.7109375" customWidth="1"/>
    <col min="2050" max="2054" width="14.28515625" customWidth="1"/>
    <col min="2304" max="2304" width="46.42578125" bestFit="1" customWidth="1"/>
    <col min="2305" max="2305" width="8.7109375" customWidth="1"/>
    <col min="2306" max="2310" width="14.28515625" customWidth="1"/>
    <col min="2560" max="2560" width="46.42578125" bestFit="1" customWidth="1"/>
    <col min="2561" max="2561" width="8.7109375" customWidth="1"/>
    <col min="2562" max="2566" width="14.28515625" customWidth="1"/>
    <col min="2816" max="2816" width="46.42578125" bestFit="1" customWidth="1"/>
    <col min="2817" max="2817" width="8.7109375" customWidth="1"/>
    <col min="2818" max="2822" width="14.28515625" customWidth="1"/>
    <col min="3072" max="3072" width="46.42578125" bestFit="1" customWidth="1"/>
    <col min="3073" max="3073" width="8.7109375" customWidth="1"/>
    <col min="3074" max="3078" width="14.28515625" customWidth="1"/>
    <col min="3328" max="3328" width="46.42578125" bestFit="1" customWidth="1"/>
    <col min="3329" max="3329" width="8.7109375" customWidth="1"/>
    <col min="3330" max="3334" width="14.28515625" customWidth="1"/>
    <col min="3584" max="3584" width="46.42578125" bestFit="1" customWidth="1"/>
    <col min="3585" max="3585" width="8.7109375" customWidth="1"/>
    <col min="3586" max="3590" width="14.28515625" customWidth="1"/>
    <col min="3840" max="3840" width="46.42578125" bestFit="1" customWidth="1"/>
    <col min="3841" max="3841" width="8.7109375" customWidth="1"/>
    <col min="3842" max="3846" width="14.28515625" customWidth="1"/>
    <col min="4096" max="4096" width="46.42578125" bestFit="1" customWidth="1"/>
    <col min="4097" max="4097" width="8.7109375" customWidth="1"/>
    <col min="4098" max="4102" width="14.28515625" customWidth="1"/>
    <col min="4352" max="4352" width="46.42578125" bestFit="1" customWidth="1"/>
    <col min="4353" max="4353" width="8.7109375" customWidth="1"/>
    <col min="4354" max="4358" width="14.28515625" customWidth="1"/>
    <col min="4608" max="4608" width="46.42578125" bestFit="1" customWidth="1"/>
    <col min="4609" max="4609" width="8.7109375" customWidth="1"/>
    <col min="4610" max="4614" width="14.28515625" customWidth="1"/>
    <col min="4864" max="4864" width="46.42578125" bestFit="1" customWidth="1"/>
    <col min="4865" max="4865" width="8.7109375" customWidth="1"/>
    <col min="4866" max="4870" width="14.28515625" customWidth="1"/>
    <col min="5120" max="5120" width="46.42578125" bestFit="1" customWidth="1"/>
    <col min="5121" max="5121" width="8.7109375" customWidth="1"/>
    <col min="5122" max="5126" width="14.28515625" customWidth="1"/>
    <col min="5376" max="5376" width="46.42578125" bestFit="1" customWidth="1"/>
    <col min="5377" max="5377" width="8.7109375" customWidth="1"/>
    <col min="5378" max="5382" width="14.28515625" customWidth="1"/>
    <col min="5632" max="5632" width="46.42578125" bestFit="1" customWidth="1"/>
    <col min="5633" max="5633" width="8.7109375" customWidth="1"/>
    <col min="5634" max="5638" width="14.28515625" customWidth="1"/>
    <col min="5888" max="5888" width="46.42578125" bestFit="1" customWidth="1"/>
    <col min="5889" max="5889" width="8.7109375" customWidth="1"/>
    <col min="5890" max="5894" width="14.28515625" customWidth="1"/>
    <col min="6144" max="6144" width="46.42578125" bestFit="1" customWidth="1"/>
    <col min="6145" max="6145" width="8.7109375" customWidth="1"/>
    <col min="6146" max="6150" width="14.28515625" customWidth="1"/>
    <col min="6400" max="6400" width="46.42578125" bestFit="1" customWidth="1"/>
    <col min="6401" max="6401" width="8.7109375" customWidth="1"/>
    <col min="6402" max="6406" width="14.28515625" customWidth="1"/>
    <col min="6656" max="6656" width="46.42578125" bestFit="1" customWidth="1"/>
    <col min="6657" max="6657" width="8.7109375" customWidth="1"/>
    <col min="6658" max="6662" width="14.28515625" customWidth="1"/>
    <col min="6912" max="6912" width="46.42578125" bestFit="1" customWidth="1"/>
    <col min="6913" max="6913" width="8.7109375" customWidth="1"/>
    <col min="6914" max="6918" width="14.28515625" customWidth="1"/>
    <col min="7168" max="7168" width="46.42578125" bestFit="1" customWidth="1"/>
    <col min="7169" max="7169" width="8.7109375" customWidth="1"/>
    <col min="7170" max="7174" width="14.28515625" customWidth="1"/>
    <col min="7424" max="7424" width="46.42578125" bestFit="1" customWidth="1"/>
    <col min="7425" max="7425" width="8.7109375" customWidth="1"/>
    <col min="7426" max="7430" width="14.28515625" customWidth="1"/>
    <col min="7680" max="7680" width="46.42578125" bestFit="1" customWidth="1"/>
    <col min="7681" max="7681" width="8.7109375" customWidth="1"/>
    <col min="7682" max="7686" width="14.28515625" customWidth="1"/>
    <col min="7936" max="7936" width="46.42578125" bestFit="1" customWidth="1"/>
    <col min="7937" max="7937" width="8.7109375" customWidth="1"/>
    <col min="7938" max="7942" width="14.28515625" customWidth="1"/>
    <col min="8192" max="8192" width="46.42578125" bestFit="1" customWidth="1"/>
    <col min="8193" max="8193" width="8.7109375" customWidth="1"/>
    <col min="8194" max="8198" width="14.28515625" customWidth="1"/>
    <col min="8448" max="8448" width="46.42578125" bestFit="1" customWidth="1"/>
    <col min="8449" max="8449" width="8.7109375" customWidth="1"/>
    <col min="8450" max="8454" width="14.28515625" customWidth="1"/>
    <col min="8704" max="8704" width="46.42578125" bestFit="1" customWidth="1"/>
    <col min="8705" max="8705" width="8.7109375" customWidth="1"/>
    <col min="8706" max="8710" width="14.28515625" customWidth="1"/>
    <col min="8960" max="8960" width="46.42578125" bestFit="1" customWidth="1"/>
    <col min="8961" max="8961" width="8.7109375" customWidth="1"/>
    <col min="8962" max="8966" width="14.28515625" customWidth="1"/>
    <col min="9216" max="9216" width="46.42578125" bestFit="1" customWidth="1"/>
    <col min="9217" max="9217" width="8.7109375" customWidth="1"/>
    <col min="9218" max="9222" width="14.28515625" customWidth="1"/>
    <col min="9472" max="9472" width="46.42578125" bestFit="1" customWidth="1"/>
    <col min="9473" max="9473" width="8.7109375" customWidth="1"/>
    <col min="9474" max="9478" width="14.28515625" customWidth="1"/>
    <col min="9728" max="9728" width="46.42578125" bestFit="1" customWidth="1"/>
    <col min="9729" max="9729" width="8.7109375" customWidth="1"/>
    <col min="9730" max="9734" width="14.28515625" customWidth="1"/>
    <col min="9984" max="9984" width="46.42578125" bestFit="1" customWidth="1"/>
    <col min="9985" max="9985" width="8.7109375" customWidth="1"/>
    <col min="9986" max="9990" width="14.28515625" customWidth="1"/>
    <col min="10240" max="10240" width="46.42578125" bestFit="1" customWidth="1"/>
    <col min="10241" max="10241" width="8.7109375" customWidth="1"/>
    <col min="10242" max="10246" width="14.28515625" customWidth="1"/>
    <col min="10496" max="10496" width="46.42578125" bestFit="1" customWidth="1"/>
    <col min="10497" max="10497" width="8.7109375" customWidth="1"/>
    <col min="10498" max="10502" width="14.28515625" customWidth="1"/>
    <col min="10752" max="10752" width="46.42578125" bestFit="1" customWidth="1"/>
    <col min="10753" max="10753" width="8.7109375" customWidth="1"/>
    <col min="10754" max="10758" width="14.28515625" customWidth="1"/>
    <col min="11008" max="11008" width="46.42578125" bestFit="1" customWidth="1"/>
    <col min="11009" max="11009" width="8.7109375" customWidth="1"/>
    <col min="11010" max="11014" width="14.28515625" customWidth="1"/>
    <col min="11264" max="11264" width="46.42578125" bestFit="1" customWidth="1"/>
    <col min="11265" max="11265" width="8.7109375" customWidth="1"/>
    <col min="11266" max="11270" width="14.28515625" customWidth="1"/>
    <col min="11520" max="11520" width="46.42578125" bestFit="1" customWidth="1"/>
    <col min="11521" max="11521" width="8.7109375" customWidth="1"/>
    <col min="11522" max="11526" width="14.28515625" customWidth="1"/>
    <col min="11776" max="11776" width="46.42578125" bestFit="1" customWidth="1"/>
    <col min="11777" max="11777" width="8.7109375" customWidth="1"/>
    <col min="11778" max="11782" width="14.28515625" customWidth="1"/>
    <col min="12032" max="12032" width="46.42578125" bestFit="1" customWidth="1"/>
    <col min="12033" max="12033" width="8.7109375" customWidth="1"/>
    <col min="12034" max="12038" width="14.28515625" customWidth="1"/>
    <col min="12288" max="12288" width="46.42578125" bestFit="1" customWidth="1"/>
    <col min="12289" max="12289" width="8.7109375" customWidth="1"/>
    <col min="12290" max="12294" width="14.28515625" customWidth="1"/>
    <col min="12544" max="12544" width="46.42578125" bestFit="1" customWidth="1"/>
    <col min="12545" max="12545" width="8.7109375" customWidth="1"/>
    <col min="12546" max="12550" width="14.28515625" customWidth="1"/>
    <col min="12800" max="12800" width="46.42578125" bestFit="1" customWidth="1"/>
    <col min="12801" max="12801" width="8.7109375" customWidth="1"/>
    <col min="12802" max="12806" width="14.28515625" customWidth="1"/>
    <col min="13056" max="13056" width="46.42578125" bestFit="1" customWidth="1"/>
    <col min="13057" max="13057" width="8.7109375" customWidth="1"/>
    <col min="13058" max="13062" width="14.28515625" customWidth="1"/>
    <col min="13312" max="13312" width="46.42578125" bestFit="1" customWidth="1"/>
    <col min="13313" max="13313" width="8.7109375" customWidth="1"/>
    <col min="13314" max="13318" width="14.28515625" customWidth="1"/>
    <col min="13568" max="13568" width="46.42578125" bestFit="1" customWidth="1"/>
    <col min="13569" max="13569" width="8.7109375" customWidth="1"/>
    <col min="13570" max="13574" width="14.28515625" customWidth="1"/>
    <col min="13824" max="13824" width="46.42578125" bestFit="1" customWidth="1"/>
    <col min="13825" max="13825" width="8.7109375" customWidth="1"/>
    <col min="13826" max="13830" width="14.28515625" customWidth="1"/>
    <col min="14080" max="14080" width="46.42578125" bestFit="1" customWidth="1"/>
    <col min="14081" max="14081" width="8.7109375" customWidth="1"/>
    <col min="14082" max="14086" width="14.28515625" customWidth="1"/>
    <col min="14336" max="14336" width="46.42578125" bestFit="1" customWidth="1"/>
    <col min="14337" max="14337" width="8.7109375" customWidth="1"/>
    <col min="14338" max="14342" width="14.28515625" customWidth="1"/>
    <col min="14592" max="14592" width="46.42578125" bestFit="1" customWidth="1"/>
    <col min="14593" max="14593" width="8.7109375" customWidth="1"/>
    <col min="14594" max="14598" width="14.28515625" customWidth="1"/>
    <col min="14848" max="14848" width="46.42578125" bestFit="1" customWidth="1"/>
    <col min="14849" max="14849" width="8.7109375" customWidth="1"/>
    <col min="14850" max="14854" width="14.28515625" customWidth="1"/>
    <col min="15104" max="15104" width="46.42578125" bestFit="1" customWidth="1"/>
    <col min="15105" max="15105" width="8.7109375" customWidth="1"/>
    <col min="15106" max="15110" width="14.28515625" customWidth="1"/>
    <col min="15360" max="15360" width="46.42578125" bestFit="1" customWidth="1"/>
    <col min="15361" max="15361" width="8.7109375" customWidth="1"/>
    <col min="15362" max="15366" width="14.28515625" customWidth="1"/>
    <col min="15616" max="15616" width="46.42578125" bestFit="1" customWidth="1"/>
    <col min="15617" max="15617" width="8.7109375" customWidth="1"/>
    <col min="15618" max="15622" width="14.28515625" customWidth="1"/>
    <col min="15872" max="15872" width="46.42578125" bestFit="1" customWidth="1"/>
    <col min="15873" max="15873" width="8.7109375" customWidth="1"/>
    <col min="15874" max="15878" width="14.28515625" customWidth="1"/>
    <col min="16128" max="16128" width="46.42578125" bestFit="1" customWidth="1"/>
    <col min="16129" max="16129" width="8.7109375" customWidth="1"/>
    <col min="16130" max="16134" width="14.28515625" customWidth="1"/>
  </cols>
  <sheetData>
    <row r="3" spans="1:8" ht="15">
      <c r="A3" s="35" t="s">
        <v>1825</v>
      </c>
      <c r="B3" s="34"/>
      <c r="C3" s="34"/>
      <c r="D3" s="34"/>
      <c r="E3" s="34"/>
      <c r="F3" s="34"/>
    </row>
    <row r="4" spans="1:8" ht="15">
      <c r="A4" s="341" t="s">
        <v>815</v>
      </c>
      <c r="B4" s="341"/>
      <c r="C4" s="341"/>
      <c r="D4" s="341"/>
      <c r="E4" s="341"/>
      <c r="F4" s="341"/>
    </row>
    <row r="5" spans="1:8" ht="15" hidden="1">
      <c r="A5" s="36" t="s">
        <v>54</v>
      </c>
      <c r="B5" s="34"/>
      <c r="C5" s="34"/>
      <c r="D5" s="34"/>
      <c r="E5" s="34"/>
      <c r="F5" s="34"/>
    </row>
    <row r="6" spans="1:8" hidden="1">
      <c r="A6" s="37" t="s">
        <v>54</v>
      </c>
      <c r="B6" s="34"/>
      <c r="C6" s="34"/>
      <c r="D6" s="34"/>
      <c r="E6" s="34"/>
      <c r="F6" s="34"/>
    </row>
    <row r="7" spans="1:8" hidden="1">
      <c r="A7" s="342">
        <v>42460</v>
      </c>
      <c r="B7" s="342"/>
      <c r="C7" s="342"/>
      <c r="D7" s="342"/>
      <c r="E7" s="342"/>
      <c r="F7" s="342"/>
    </row>
    <row r="8" spans="1:8">
      <c r="A8" s="38"/>
      <c r="B8" s="38"/>
      <c r="C8" s="38"/>
      <c r="D8" s="38"/>
      <c r="E8" s="38"/>
      <c r="F8" s="38"/>
    </row>
    <row r="9" spans="1:8" ht="13.5" thickBot="1">
      <c r="C9" s="17" t="s">
        <v>251</v>
      </c>
      <c r="D9" s="17" t="s">
        <v>251</v>
      </c>
      <c r="E9" s="17" t="s">
        <v>251</v>
      </c>
      <c r="F9" s="17" t="s">
        <v>44</v>
      </c>
      <c r="G9" s="248" t="s">
        <v>1701</v>
      </c>
    </row>
    <row r="10" spans="1:8" ht="13.5" thickTop="1">
      <c r="A10" s="39"/>
      <c r="B10" s="40"/>
      <c r="C10" s="41" t="s">
        <v>55</v>
      </c>
      <c r="D10" s="41" t="s">
        <v>55</v>
      </c>
      <c r="E10" s="41" t="s">
        <v>55</v>
      </c>
      <c r="F10" s="41"/>
      <c r="G10" s="61"/>
    </row>
    <row r="11" spans="1:8" ht="13.5" thickBot="1">
      <c r="A11" s="42"/>
      <c r="B11" s="43"/>
      <c r="C11" s="44" t="s">
        <v>58</v>
      </c>
      <c r="D11" s="44" t="s">
        <v>57</v>
      </c>
      <c r="E11" s="44" t="s">
        <v>59</v>
      </c>
      <c r="F11" s="44" t="s">
        <v>57</v>
      </c>
      <c r="G11" s="62" t="s">
        <v>57</v>
      </c>
      <c r="H11" s="55" t="s">
        <v>252</v>
      </c>
    </row>
    <row r="12" spans="1:8" ht="13.5" thickTop="1">
      <c r="A12" s="45" t="s">
        <v>60</v>
      </c>
      <c r="B12" s="46"/>
      <c r="C12" s="47"/>
      <c r="D12" s="47"/>
      <c r="E12" s="47"/>
      <c r="F12" s="47"/>
    </row>
    <row r="13" spans="1:8">
      <c r="A13" s="30" t="s">
        <v>816</v>
      </c>
      <c r="B13" s="30" t="s">
        <v>817</v>
      </c>
      <c r="C13" s="56">
        <v>119262.5</v>
      </c>
      <c r="D13" s="56">
        <v>204450</v>
      </c>
      <c r="E13" s="56">
        <v>85187.5</v>
      </c>
      <c r="F13" s="56">
        <v>208539</v>
      </c>
      <c r="G13" s="59">
        <f>17037.5*12*1.02*1.02</f>
        <v>212709.78</v>
      </c>
      <c r="H13" t="s">
        <v>1025</v>
      </c>
    </row>
    <row r="14" spans="1:8">
      <c r="A14" s="30" t="s">
        <v>818</v>
      </c>
      <c r="B14" s="30" t="s">
        <v>819</v>
      </c>
      <c r="C14" s="56">
        <v>0</v>
      </c>
      <c r="D14" s="56">
        <v>21000</v>
      </c>
      <c r="E14" s="56">
        <v>21000</v>
      </c>
      <c r="F14" s="56">
        <v>0</v>
      </c>
      <c r="G14" s="59">
        <v>0</v>
      </c>
    </row>
    <row r="15" spans="1:8">
      <c r="A15" s="30"/>
      <c r="B15" s="30"/>
      <c r="C15" s="56"/>
      <c r="D15" s="56"/>
      <c r="E15" s="56"/>
      <c r="F15" s="56"/>
    </row>
    <row r="16" spans="1:8">
      <c r="A16" s="49" t="s">
        <v>115</v>
      </c>
      <c r="B16" s="50"/>
      <c r="C16" s="57">
        <v>119262.5</v>
      </c>
      <c r="D16" s="57">
        <v>225450</v>
      </c>
      <c r="E16" s="57">
        <v>106187.5</v>
      </c>
      <c r="F16" s="57">
        <v>208539</v>
      </c>
      <c r="G16" s="75">
        <f>SUM(G13:G14)</f>
        <v>212709.78</v>
      </c>
    </row>
    <row r="17" spans="1:7">
      <c r="A17" s="46"/>
      <c r="C17" s="56"/>
      <c r="D17" s="56"/>
      <c r="E17" s="56"/>
      <c r="F17" s="56"/>
    </row>
    <row r="18" spans="1:7">
      <c r="A18" s="45" t="s">
        <v>116</v>
      </c>
      <c r="C18" s="56"/>
      <c r="D18" s="56"/>
      <c r="E18" s="56"/>
      <c r="F18" s="56"/>
    </row>
    <row r="19" spans="1:7">
      <c r="A19" s="30" t="s">
        <v>820</v>
      </c>
      <c r="B19" s="30" t="s">
        <v>821</v>
      </c>
      <c r="C19" s="56">
        <v>132256.04999999999</v>
      </c>
      <c r="D19" s="56">
        <v>150822.21</v>
      </c>
      <c r="E19" s="56">
        <v>18566.160000000003</v>
      </c>
      <c r="F19" s="56">
        <v>152816</v>
      </c>
      <c r="G19" s="59">
        <f>(44829/2)+(23923.71/2)+33291.11+31224.65+30987.57+27994.51</f>
        <v>157874.19500000001</v>
      </c>
    </row>
    <row r="20" spans="1:7">
      <c r="A20" s="30" t="s">
        <v>822</v>
      </c>
      <c r="B20" s="30" t="s">
        <v>823</v>
      </c>
      <c r="C20" s="56">
        <v>3141.76</v>
      </c>
      <c r="D20" s="56">
        <v>4524.6499999999996</v>
      </c>
      <c r="E20" s="56">
        <v>1382.8899999999994</v>
      </c>
      <c r="F20" s="56">
        <v>4189.0133333333333</v>
      </c>
      <c r="G20" s="59">
        <f>C20/9*12</f>
        <v>4189.0133333333333</v>
      </c>
    </row>
    <row r="21" spans="1:7">
      <c r="A21" s="30" t="s">
        <v>824</v>
      </c>
      <c r="B21" s="30" t="s">
        <v>825</v>
      </c>
      <c r="C21" s="56">
        <v>5580.75</v>
      </c>
      <c r="D21" s="56">
        <v>7541.11</v>
      </c>
      <c r="E21" s="56">
        <v>1960.3599999999997</v>
      </c>
      <c r="F21" s="56">
        <v>7441</v>
      </c>
      <c r="G21" s="59">
        <f>C21/9*12</f>
        <v>7441</v>
      </c>
    </row>
    <row r="22" spans="1:7">
      <c r="A22" s="30" t="s">
        <v>826</v>
      </c>
      <c r="B22" s="30" t="s">
        <v>827</v>
      </c>
      <c r="C22" s="56">
        <v>0</v>
      </c>
      <c r="D22" s="56">
        <v>6032.89</v>
      </c>
      <c r="E22" s="56">
        <v>6032.89</v>
      </c>
      <c r="F22" s="56">
        <v>6032.89</v>
      </c>
      <c r="G22" s="59">
        <f>F22</f>
        <v>6032.89</v>
      </c>
    </row>
    <row r="23" spans="1:7">
      <c r="A23" s="30" t="s">
        <v>828</v>
      </c>
      <c r="B23" s="30" t="s">
        <v>829</v>
      </c>
      <c r="C23" s="56">
        <v>980</v>
      </c>
      <c r="D23" s="56">
        <v>1000</v>
      </c>
      <c r="E23" s="56">
        <v>20</v>
      </c>
      <c r="F23" s="56">
        <v>1000</v>
      </c>
      <c r="G23" s="59">
        <f>F23</f>
        <v>1000</v>
      </c>
    </row>
    <row r="24" spans="1:7">
      <c r="A24" s="30" t="s">
        <v>830</v>
      </c>
      <c r="B24" s="30" t="s">
        <v>831</v>
      </c>
      <c r="C24" s="56">
        <v>1114.8900000000001</v>
      </c>
      <c r="D24" s="56">
        <v>1000</v>
      </c>
      <c r="E24" s="56">
        <v>-114.8900000000001</v>
      </c>
      <c r="F24" s="56">
        <v>1500</v>
      </c>
      <c r="G24" s="59">
        <v>1500</v>
      </c>
    </row>
    <row r="25" spans="1:7">
      <c r="A25" s="30" t="s">
        <v>832</v>
      </c>
      <c r="B25" s="30" t="s">
        <v>833</v>
      </c>
      <c r="C25" s="56">
        <v>149.85</v>
      </c>
      <c r="D25" s="56">
        <v>600</v>
      </c>
      <c r="E25" s="56">
        <v>450.15</v>
      </c>
      <c r="F25" s="56">
        <v>300</v>
      </c>
      <c r="G25" s="59">
        <v>300</v>
      </c>
    </row>
    <row r="26" spans="1:7">
      <c r="A26" s="30" t="s">
        <v>834</v>
      </c>
      <c r="B26" s="30" t="s">
        <v>835</v>
      </c>
      <c r="C26" s="56">
        <v>193.51</v>
      </c>
      <c r="D26" s="56">
        <v>1500</v>
      </c>
      <c r="E26" s="56">
        <v>1306.49</v>
      </c>
      <c r="F26" s="56">
        <v>500</v>
      </c>
      <c r="G26" s="59">
        <v>500</v>
      </c>
    </row>
    <row r="27" spans="1:7">
      <c r="A27" s="30" t="s">
        <v>836</v>
      </c>
      <c r="B27" s="30" t="s">
        <v>837</v>
      </c>
      <c r="C27" s="56">
        <v>5289.13</v>
      </c>
      <c r="D27" s="56">
        <v>4000</v>
      </c>
      <c r="E27" s="56">
        <v>-1289.1300000000001</v>
      </c>
      <c r="F27" s="56">
        <v>6000</v>
      </c>
      <c r="G27" s="59">
        <v>6000</v>
      </c>
    </row>
    <row r="28" spans="1:7">
      <c r="A28" s="30" t="s">
        <v>838</v>
      </c>
      <c r="B28" s="30" t="s">
        <v>839</v>
      </c>
      <c r="C28" s="56">
        <v>755.74</v>
      </c>
      <c r="D28" s="56">
        <v>0</v>
      </c>
      <c r="E28" s="56">
        <v>-755.74</v>
      </c>
      <c r="F28" s="56">
        <v>1000</v>
      </c>
      <c r="G28" s="59">
        <v>1000</v>
      </c>
    </row>
    <row r="29" spans="1:7">
      <c r="A29" s="30" t="s">
        <v>840</v>
      </c>
      <c r="B29" s="30" t="s">
        <v>841</v>
      </c>
      <c r="C29" s="56">
        <v>4372.93</v>
      </c>
      <c r="D29" s="56">
        <v>4000</v>
      </c>
      <c r="E29" s="56">
        <v>-372.93000000000029</v>
      </c>
      <c r="F29" s="56">
        <v>6000</v>
      </c>
      <c r="G29" s="59">
        <v>6000</v>
      </c>
    </row>
    <row r="30" spans="1:7">
      <c r="A30" s="30" t="s">
        <v>842</v>
      </c>
      <c r="B30" s="30" t="s">
        <v>843</v>
      </c>
      <c r="C30" s="56">
        <v>1212.31</v>
      </c>
      <c r="D30" s="56">
        <v>0</v>
      </c>
      <c r="E30" s="56">
        <v>-1212.31</v>
      </c>
      <c r="F30" s="56">
        <v>0</v>
      </c>
      <c r="G30" s="59">
        <v>0</v>
      </c>
    </row>
    <row r="31" spans="1:7">
      <c r="A31" s="30" t="s">
        <v>844</v>
      </c>
      <c r="B31" s="30" t="s">
        <v>845</v>
      </c>
      <c r="C31" s="56">
        <v>7644.73</v>
      </c>
      <c r="D31" s="56">
        <v>10905.97</v>
      </c>
      <c r="E31" s="56">
        <v>3261.24</v>
      </c>
      <c r="F31" s="56">
        <v>10192.973333333332</v>
      </c>
      <c r="G31" s="59">
        <f>C31/9*12</f>
        <v>10192.973333333332</v>
      </c>
    </row>
    <row r="32" spans="1:7">
      <c r="A32" s="30" t="s">
        <v>846</v>
      </c>
      <c r="B32" s="30" t="s">
        <v>847</v>
      </c>
      <c r="C32" s="56">
        <v>5497.24</v>
      </c>
      <c r="D32" s="56">
        <v>3000</v>
      </c>
      <c r="E32" s="56">
        <v>-2497.2399999999998</v>
      </c>
      <c r="F32" s="56">
        <v>4000</v>
      </c>
      <c r="G32" s="59">
        <f>4000</f>
        <v>4000</v>
      </c>
    </row>
    <row r="33" spans="1:8">
      <c r="A33" s="30" t="s">
        <v>848</v>
      </c>
      <c r="B33" s="30" t="s">
        <v>849</v>
      </c>
      <c r="C33" s="56">
        <v>3970.67</v>
      </c>
      <c r="D33" s="56">
        <v>3000</v>
      </c>
      <c r="E33" s="56">
        <v>-970.67000000000007</v>
      </c>
      <c r="F33" s="56">
        <v>4000</v>
      </c>
      <c r="G33" s="59">
        <v>4000</v>
      </c>
    </row>
    <row r="34" spans="1:8">
      <c r="A34" s="30" t="s">
        <v>850</v>
      </c>
      <c r="B34" s="30" t="s">
        <v>851</v>
      </c>
      <c r="C34" s="56">
        <v>0</v>
      </c>
      <c r="D34" s="56">
        <v>3800</v>
      </c>
      <c r="E34" s="56">
        <v>3800</v>
      </c>
      <c r="F34" s="56">
        <v>3800</v>
      </c>
      <c r="G34" s="59">
        <f>F34</f>
        <v>3800</v>
      </c>
    </row>
    <row r="35" spans="1:8">
      <c r="A35" s="30" t="s">
        <v>852</v>
      </c>
      <c r="B35" s="30" t="s">
        <v>853</v>
      </c>
      <c r="C35" s="56">
        <v>9590.86</v>
      </c>
      <c r="D35" s="56">
        <v>0</v>
      </c>
      <c r="E35" s="56">
        <v>-9590.86</v>
      </c>
      <c r="F35" s="56">
        <v>0</v>
      </c>
      <c r="G35" s="59">
        <v>0</v>
      </c>
    </row>
    <row r="36" spans="1:8">
      <c r="A36" s="30" t="s">
        <v>854</v>
      </c>
      <c r="B36" s="30" t="s">
        <v>855</v>
      </c>
      <c r="C36" s="56">
        <v>1514.99</v>
      </c>
      <c r="D36" s="56">
        <v>0</v>
      </c>
      <c r="E36" s="56">
        <v>-1514.99</v>
      </c>
      <c r="F36" s="56">
        <v>2000</v>
      </c>
      <c r="G36" s="59">
        <v>2000</v>
      </c>
    </row>
    <row r="37" spans="1:8">
      <c r="A37" s="30" t="s">
        <v>856</v>
      </c>
      <c r="B37" s="30" t="s">
        <v>857</v>
      </c>
      <c r="C37" s="56">
        <v>634.65</v>
      </c>
      <c r="D37" s="56">
        <v>1500</v>
      </c>
      <c r="E37" s="56">
        <v>865.35</v>
      </c>
      <c r="F37" s="56">
        <v>2000</v>
      </c>
      <c r="G37" s="59">
        <f>2000</f>
        <v>2000</v>
      </c>
    </row>
    <row r="38" spans="1:8">
      <c r="A38" s="30" t="s">
        <v>858</v>
      </c>
      <c r="B38" s="30" t="s">
        <v>859</v>
      </c>
      <c r="C38" s="56">
        <v>1000</v>
      </c>
      <c r="D38" s="56">
        <v>1564.04</v>
      </c>
      <c r="E38" s="56">
        <v>564.04</v>
      </c>
      <c r="F38" s="56">
        <v>2000</v>
      </c>
      <c r="G38" s="59">
        <v>2000</v>
      </c>
    </row>
    <row r="39" spans="1:8">
      <c r="A39" s="30" t="s">
        <v>860</v>
      </c>
      <c r="B39" s="30" t="s">
        <v>861</v>
      </c>
      <c r="C39" s="56">
        <v>0</v>
      </c>
      <c r="D39" s="56">
        <v>12000</v>
      </c>
      <c r="E39" s="56">
        <v>12000</v>
      </c>
      <c r="F39" s="56">
        <v>12000</v>
      </c>
      <c r="G39" s="59">
        <f>F39</f>
        <v>12000</v>
      </c>
      <c r="H39" t="s">
        <v>1019</v>
      </c>
    </row>
    <row r="40" spans="1:8">
      <c r="A40" s="30" t="s">
        <v>862</v>
      </c>
      <c r="B40" s="30" t="s">
        <v>863</v>
      </c>
      <c r="C40" s="56">
        <v>0</v>
      </c>
      <c r="D40" s="56">
        <v>2000</v>
      </c>
      <c r="E40" s="56">
        <v>2000</v>
      </c>
      <c r="F40" s="56">
        <v>2000</v>
      </c>
      <c r="G40" s="59">
        <f>F40</f>
        <v>2000</v>
      </c>
    </row>
    <row r="41" spans="1:8">
      <c r="A41" s="30" t="s">
        <v>864</v>
      </c>
      <c r="B41" s="30" t="s">
        <v>865</v>
      </c>
      <c r="C41" s="56">
        <v>256</v>
      </c>
      <c r="D41" s="56">
        <v>824.18</v>
      </c>
      <c r="E41" s="56">
        <v>568.17999999999995</v>
      </c>
      <c r="F41" s="56">
        <v>824.18</v>
      </c>
      <c r="G41" s="59">
        <f>F41</f>
        <v>824.18</v>
      </c>
    </row>
    <row r="42" spans="1:8">
      <c r="A42" s="30" t="s">
        <v>866</v>
      </c>
      <c r="B42" s="30" t="s">
        <v>867</v>
      </c>
      <c r="C42" s="56">
        <v>2538.15</v>
      </c>
      <c r="D42" s="56">
        <v>5834.95</v>
      </c>
      <c r="E42" s="56">
        <v>3296.7999999999997</v>
      </c>
      <c r="F42" s="56">
        <v>3384.2</v>
      </c>
      <c r="G42" s="59">
        <f>C42/9*12</f>
        <v>3384.2</v>
      </c>
    </row>
    <row r="43" spans="1:8">
      <c r="C43" s="56"/>
      <c r="D43" s="56"/>
      <c r="E43" s="56"/>
      <c r="F43" s="56"/>
    </row>
    <row r="44" spans="1:8">
      <c r="A44" s="49" t="s">
        <v>249</v>
      </c>
      <c r="B44" s="52"/>
      <c r="C44" s="57">
        <v>187694.21000000002</v>
      </c>
      <c r="D44" s="57">
        <v>225450</v>
      </c>
      <c r="E44" s="57">
        <v>37755.79</v>
      </c>
      <c r="F44" s="57">
        <v>232980.25666666668</v>
      </c>
      <c r="G44" s="75">
        <f>SUM(G19:G42)</f>
        <v>238038.45166666669</v>
      </c>
    </row>
    <row r="45" spans="1:8">
      <c r="C45" s="56"/>
      <c r="D45" s="56"/>
      <c r="E45" s="56"/>
      <c r="F45" s="56"/>
    </row>
    <row r="46" spans="1:8" ht="13.5" thickBot="1">
      <c r="A46" s="43" t="s">
        <v>250</v>
      </c>
      <c r="B46" s="53"/>
      <c r="C46" s="54">
        <v>-68431.710000000021</v>
      </c>
      <c r="D46" s="54">
        <v>0</v>
      </c>
      <c r="E46" s="54">
        <v>68431.709999999992</v>
      </c>
      <c r="F46" s="54">
        <v>-24441.256666666683</v>
      </c>
      <c r="G46" s="73">
        <f>G16-G44</f>
        <v>-25328.671666666691</v>
      </c>
    </row>
    <row r="47" spans="1:8" ht="13.5" thickTop="1"/>
  </sheetData>
  <mergeCells count="2">
    <mergeCell ref="A4:F4"/>
    <mergeCell ref="A7:F7"/>
  </mergeCells>
  <pageMargins left="0.7" right="0.7" top="0.75" bottom="0.75" header="0.3" footer="0.3"/>
  <pageSetup scale="92" orientation="landscape" horizontalDpi="4294967293" vertic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44"/>
  <sheetViews>
    <sheetView zoomScale="150" zoomScaleNormal="150" workbookViewId="0">
      <selection activeCell="A4" sqref="A4:F4"/>
    </sheetView>
  </sheetViews>
  <sheetFormatPr defaultRowHeight="12.75"/>
  <cols>
    <col min="1" max="1" width="46.42578125" bestFit="1" customWidth="1"/>
    <col min="2" max="2" width="8.7109375" customWidth="1"/>
    <col min="3" max="5" width="14.28515625" hidden="1" customWidth="1"/>
    <col min="6" max="6" width="14.28515625" customWidth="1"/>
    <col min="7" max="7" width="11.7109375" style="59" customWidth="1"/>
    <col min="8" max="8" width="17.7109375" customWidth="1"/>
    <col min="256" max="256" width="46.42578125" bestFit="1" customWidth="1"/>
    <col min="257" max="257" width="8.7109375" customWidth="1"/>
    <col min="258" max="262" width="14.28515625" customWidth="1"/>
    <col min="512" max="512" width="46.42578125" bestFit="1" customWidth="1"/>
    <col min="513" max="513" width="8.7109375" customWidth="1"/>
    <col min="514" max="518" width="14.28515625" customWidth="1"/>
    <col min="768" max="768" width="46.42578125" bestFit="1" customWidth="1"/>
    <col min="769" max="769" width="8.7109375" customWidth="1"/>
    <col min="770" max="774" width="14.28515625" customWidth="1"/>
    <col min="1024" max="1024" width="46.42578125" bestFit="1" customWidth="1"/>
    <col min="1025" max="1025" width="8.7109375" customWidth="1"/>
    <col min="1026" max="1030" width="14.28515625" customWidth="1"/>
    <col min="1280" max="1280" width="46.42578125" bestFit="1" customWidth="1"/>
    <col min="1281" max="1281" width="8.7109375" customWidth="1"/>
    <col min="1282" max="1286" width="14.28515625" customWidth="1"/>
    <col min="1536" max="1536" width="46.42578125" bestFit="1" customWidth="1"/>
    <col min="1537" max="1537" width="8.7109375" customWidth="1"/>
    <col min="1538" max="1542" width="14.28515625" customWidth="1"/>
    <col min="1792" max="1792" width="46.42578125" bestFit="1" customWidth="1"/>
    <col min="1793" max="1793" width="8.7109375" customWidth="1"/>
    <col min="1794" max="1798" width="14.28515625" customWidth="1"/>
    <col min="2048" max="2048" width="46.42578125" bestFit="1" customWidth="1"/>
    <col min="2049" max="2049" width="8.7109375" customWidth="1"/>
    <col min="2050" max="2054" width="14.28515625" customWidth="1"/>
    <col min="2304" max="2304" width="46.42578125" bestFit="1" customWidth="1"/>
    <col min="2305" max="2305" width="8.7109375" customWidth="1"/>
    <col min="2306" max="2310" width="14.28515625" customWidth="1"/>
    <col min="2560" max="2560" width="46.42578125" bestFit="1" customWidth="1"/>
    <col min="2561" max="2561" width="8.7109375" customWidth="1"/>
    <col min="2562" max="2566" width="14.28515625" customWidth="1"/>
    <col min="2816" max="2816" width="46.42578125" bestFit="1" customWidth="1"/>
    <col min="2817" max="2817" width="8.7109375" customWidth="1"/>
    <col min="2818" max="2822" width="14.28515625" customWidth="1"/>
    <col min="3072" max="3072" width="46.42578125" bestFit="1" customWidth="1"/>
    <col min="3073" max="3073" width="8.7109375" customWidth="1"/>
    <col min="3074" max="3078" width="14.28515625" customWidth="1"/>
    <col min="3328" max="3328" width="46.42578125" bestFit="1" customWidth="1"/>
    <col min="3329" max="3329" width="8.7109375" customWidth="1"/>
    <col min="3330" max="3334" width="14.28515625" customWidth="1"/>
    <col min="3584" max="3584" width="46.42578125" bestFit="1" customWidth="1"/>
    <col min="3585" max="3585" width="8.7109375" customWidth="1"/>
    <col min="3586" max="3590" width="14.28515625" customWidth="1"/>
    <col min="3840" max="3840" width="46.42578125" bestFit="1" customWidth="1"/>
    <col min="3841" max="3841" width="8.7109375" customWidth="1"/>
    <col min="3842" max="3846" width="14.28515625" customWidth="1"/>
    <col min="4096" max="4096" width="46.42578125" bestFit="1" customWidth="1"/>
    <col min="4097" max="4097" width="8.7109375" customWidth="1"/>
    <col min="4098" max="4102" width="14.28515625" customWidth="1"/>
    <col min="4352" max="4352" width="46.42578125" bestFit="1" customWidth="1"/>
    <col min="4353" max="4353" width="8.7109375" customWidth="1"/>
    <col min="4354" max="4358" width="14.28515625" customWidth="1"/>
    <col min="4608" max="4608" width="46.42578125" bestFit="1" customWidth="1"/>
    <col min="4609" max="4609" width="8.7109375" customWidth="1"/>
    <col min="4610" max="4614" width="14.28515625" customWidth="1"/>
    <col min="4864" max="4864" width="46.42578125" bestFit="1" customWidth="1"/>
    <col min="4865" max="4865" width="8.7109375" customWidth="1"/>
    <col min="4866" max="4870" width="14.28515625" customWidth="1"/>
    <col min="5120" max="5120" width="46.42578125" bestFit="1" customWidth="1"/>
    <col min="5121" max="5121" width="8.7109375" customWidth="1"/>
    <col min="5122" max="5126" width="14.28515625" customWidth="1"/>
    <col min="5376" max="5376" width="46.42578125" bestFit="1" customWidth="1"/>
    <col min="5377" max="5377" width="8.7109375" customWidth="1"/>
    <col min="5378" max="5382" width="14.28515625" customWidth="1"/>
    <col min="5632" max="5632" width="46.42578125" bestFit="1" customWidth="1"/>
    <col min="5633" max="5633" width="8.7109375" customWidth="1"/>
    <col min="5634" max="5638" width="14.28515625" customWidth="1"/>
    <col min="5888" max="5888" width="46.42578125" bestFit="1" customWidth="1"/>
    <col min="5889" max="5889" width="8.7109375" customWidth="1"/>
    <col min="5890" max="5894" width="14.28515625" customWidth="1"/>
    <col min="6144" max="6144" width="46.42578125" bestFit="1" customWidth="1"/>
    <col min="6145" max="6145" width="8.7109375" customWidth="1"/>
    <col min="6146" max="6150" width="14.28515625" customWidth="1"/>
    <col min="6400" max="6400" width="46.42578125" bestFit="1" customWidth="1"/>
    <col min="6401" max="6401" width="8.7109375" customWidth="1"/>
    <col min="6402" max="6406" width="14.28515625" customWidth="1"/>
    <col min="6656" max="6656" width="46.42578125" bestFit="1" customWidth="1"/>
    <col min="6657" max="6657" width="8.7109375" customWidth="1"/>
    <col min="6658" max="6662" width="14.28515625" customWidth="1"/>
    <col min="6912" max="6912" width="46.42578125" bestFit="1" customWidth="1"/>
    <col min="6913" max="6913" width="8.7109375" customWidth="1"/>
    <col min="6914" max="6918" width="14.28515625" customWidth="1"/>
    <col min="7168" max="7168" width="46.42578125" bestFit="1" customWidth="1"/>
    <col min="7169" max="7169" width="8.7109375" customWidth="1"/>
    <col min="7170" max="7174" width="14.28515625" customWidth="1"/>
    <col min="7424" max="7424" width="46.42578125" bestFit="1" customWidth="1"/>
    <col min="7425" max="7425" width="8.7109375" customWidth="1"/>
    <col min="7426" max="7430" width="14.28515625" customWidth="1"/>
    <col min="7680" max="7680" width="46.42578125" bestFit="1" customWidth="1"/>
    <col min="7681" max="7681" width="8.7109375" customWidth="1"/>
    <col min="7682" max="7686" width="14.28515625" customWidth="1"/>
    <col min="7936" max="7936" width="46.42578125" bestFit="1" customWidth="1"/>
    <col min="7937" max="7937" width="8.7109375" customWidth="1"/>
    <col min="7938" max="7942" width="14.28515625" customWidth="1"/>
    <col min="8192" max="8192" width="46.42578125" bestFit="1" customWidth="1"/>
    <col min="8193" max="8193" width="8.7109375" customWidth="1"/>
    <col min="8194" max="8198" width="14.28515625" customWidth="1"/>
    <col min="8448" max="8448" width="46.42578125" bestFit="1" customWidth="1"/>
    <col min="8449" max="8449" width="8.7109375" customWidth="1"/>
    <col min="8450" max="8454" width="14.28515625" customWidth="1"/>
    <col min="8704" max="8704" width="46.42578125" bestFit="1" customWidth="1"/>
    <col min="8705" max="8705" width="8.7109375" customWidth="1"/>
    <col min="8706" max="8710" width="14.28515625" customWidth="1"/>
    <col min="8960" max="8960" width="46.42578125" bestFit="1" customWidth="1"/>
    <col min="8961" max="8961" width="8.7109375" customWidth="1"/>
    <col min="8962" max="8966" width="14.28515625" customWidth="1"/>
    <col min="9216" max="9216" width="46.42578125" bestFit="1" customWidth="1"/>
    <col min="9217" max="9217" width="8.7109375" customWidth="1"/>
    <col min="9218" max="9222" width="14.28515625" customWidth="1"/>
    <col min="9472" max="9472" width="46.42578125" bestFit="1" customWidth="1"/>
    <col min="9473" max="9473" width="8.7109375" customWidth="1"/>
    <col min="9474" max="9478" width="14.28515625" customWidth="1"/>
    <col min="9728" max="9728" width="46.42578125" bestFit="1" customWidth="1"/>
    <col min="9729" max="9729" width="8.7109375" customWidth="1"/>
    <col min="9730" max="9734" width="14.28515625" customWidth="1"/>
    <col min="9984" max="9984" width="46.42578125" bestFit="1" customWidth="1"/>
    <col min="9985" max="9985" width="8.7109375" customWidth="1"/>
    <col min="9986" max="9990" width="14.28515625" customWidth="1"/>
    <col min="10240" max="10240" width="46.42578125" bestFit="1" customWidth="1"/>
    <col min="10241" max="10241" width="8.7109375" customWidth="1"/>
    <col min="10242" max="10246" width="14.28515625" customWidth="1"/>
    <col min="10496" max="10496" width="46.42578125" bestFit="1" customWidth="1"/>
    <col min="10497" max="10497" width="8.7109375" customWidth="1"/>
    <col min="10498" max="10502" width="14.28515625" customWidth="1"/>
    <col min="10752" max="10752" width="46.42578125" bestFit="1" customWidth="1"/>
    <col min="10753" max="10753" width="8.7109375" customWidth="1"/>
    <col min="10754" max="10758" width="14.28515625" customWidth="1"/>
    <col min="11008" max="11008" width="46.42578125" bestFit="1" customWidth="1"/>
    <col min="11009" max="11009" width="8.7109375" customWidth="1"/>
    <col min="11010" max="11014" width="14.28515625" customWidth="1"/>
    <col min="11264" max="11264" width="46.42578125" bestFit="1" customWidth="1"/>
    <col min="11265" max="11265" width="8.7109375" customWidth="1"/>
    <col min="11266" max="11270" width="14.28515625" customWidth="1"/>
    <col min="11520" max="11520" width="46.42578125" bestFit="1" customWidth="1"/>
    <col min="11521" max="11521" width="8.7109375" customWidth="1"/>
    <col min="11522" max="11526" width="14.28515625" customWidth="1"/>
    <col min="11776" max="11776" width="46.42578125" bestFit="1" customWidth="1"/>
    <col min="11777" max="11777" width="8.7109375" customWidth="1"/>
    <col min="11778" max="11782" width="14.28515625" customWidth="1"/>
    <col min="12032" max="12032" width="46.42578125" bestFit="1" customWidth="1"/>
    <col min="12033" max="12033" width="8.7109375" customWidth="1"/>
    <col min="12034" max="12038" width="14.28515625" customWidth="1"/>
    <col min="12288" max="12288" width="46.42578125" bestFit="1" customWidth="1"/>
    <col min="12289" max="12289" width="8.7109375" customWidth="1"/>
    <col min="12290" max="12294" width="14.28515625" customWidth="1"/>
    <col min="12544" max="12544" width="46.42578125" bestFit="1" customWidth="1"/>
    <col min="12545" max="12545" width="8.7109375" customWidth="1"/>
    <col min="12546" max="12550" width="14.28515625" customWidth="1"/>
    <col min="12800" max="12800" width="46.42578125" bestFit="1" customWidth="1"/>
    <col min="12801" max="12801" width="8.7109375" customWidth="1"/>
    <col min="12802" max="12806" width="14.28515625" customWidth="1"/>
    <col min="13056" max="13056" width="46.42578125" bestFit="1" customWidth="1"/>
    <col min="13057" max="13057" width="8.7109375" customWidth="1"/>
    <col min="13058" max="13062" width="14.28515625" customWidth="1"/>
    <col min="13312" max="13312" width="46.42578125" bestFit="1" customWidth="1"/>
    <col min="13313" max="13313" width="8.7109375" customWidth="1"/>
    <col min="13314" max="13318" width="14.28515625" customWidth="1"/>
    <col min="13568" max="13568" width="46.42578125" bestFit="1" customWidth="1"/>
    <col min="13569" max="13569" width="8.7109375" customWidth="1"/>
    <col min="13570" max="13574" width="14.28515625" customWidth="1"/>
    <col min="13824" max="13824" width="46.42578125" bestFit="1" customWidth="1"/>
    <col min="13825" max="13825" width="8.7109375" customWidth="1"/>
    <col min="13826" max="13830" width="14.28515625" customWidth="1"/>
    <col min="14080" max="14080" width="46.42578125" bestFit="1" customWidth="1"/>
    <col min="14081" max="14081" width="8.7109375" customWidth="1"/>
    <col min="14082" max="14086" width="14.28515625" customWidth="1"/>
    <col min="14336" max="14336" width="46.42578125" bestFit="1" customWidth="1"/>
    <col min="14337" max="14337" width="8.7109375" customWidth="1"/>
    <col min="14338" max="14342" width="14.28515625" customWidth="1"/>
    <col min="14592" max="14592" width="46.42578125" bestFit="1" customWidth="1"/>
    <col min="14593" max="14593" width="8.7109375" customWidth="1"/>
    <col min="14594" max="14598" width="14.28515625" customWidth="1"/>
    <col min="14848" max="14848" width="46.42578125" bestFit="1" customWidth="1"/>
    <col min="14849" max="14849" width="8.7109375" customWidth="1"/>
    <col min="14850" max="14854" width="14.28515625" customWidth="1"/>
    <col min="15104" max="15104" width="46.42578125" bestFit="1" customWidth="1"/>
    <col min="15105" max="15105" width="8.7109375" customWidth="1"/>
    <col min="15106" max="15110" width="14.28515625" customWidth="1"/>
    <col min="15360" max="15360" width="46.42578125" bestFit="1" customWidth="1"/>
    <col min="15361" max="15361" width="8.7109375" customWidth="1"/>
    <col min="15362" max="15366" width="14.28515625" customWidth="1"/>
    <col min="15616" max="15616" width="46.42578125" bestFit="1" customWidth="1"/>
    <col min="15617" max="15617" width="8.7109375" customWidth="1"/>
    <col min="15618" max="15622" width="14.28515625" customWidth="1"/>
    <col min="15872" max="15872" width="46.42578125" bestFit="1" customWidth="1"/>
    <col min="15873" max="15873" width="8.7109375" customWidth="1"/>
    <col min="15874" max="15878" width="14.28515625" customWidth="1"/>
    <col min="16128" max="16128" width="46.42578125" bestFit="1" customWidth="1"/>
    <col min="16129" max="16129" width="8.7109375" customWidth="1"/>
    <col min="16130" max="16134" width="14.28515625" customWidth="1"/>
  </cols>
  <sheetData>
    <row r="3" spans="1:8" ht="15">
      <c r="A3" s="35" t="s">
        <v>1825</v>
      </c>
      <c r="B3" s="34"/>
      <c r="C3" s="34"/>
      <c r="D3" s="34"/>
      <c r="E3" s="34"/>
      <c r="F3" s="34"/>
    </row>
    <row r="4" spans="1:8" ht="15">
      <c r="A4" s="341" t="s">
        <v>868</v>
      </c>
      <c r="B4" s="341"/>
      <c r="C4" s="341"/>
      <c r="D4" s="341"/>
      <c r="E4" s="341"/>
      <c r="F4" s="341"/>
    </row>
    <row r="5" spans="1:8" ht="15" hidden="1">
      <c r="A5" s="36" t="s">
        <v>54</v>
      </c>
      <c r="B5" s="34"/>
      <c r="C5" s="34"/>
      <c r="D5" s="34"/>
      <c r="E5" s="34"/>
      <c r="F5" s="34"/>
    </row>
    <row r="6" spans="1:8" hidden="1">
      <c r="A6" s="37" t="s">
        <v>54</v>
      </c>
      <c r="B6" s="34"/>
      <c r="C6" s="34"/>
      <c r="D6" s="34"/>
      <c r="E6" s="34"/>
      <c r="F6" s="34"/>
    </row>
    <row r="7" spans="1:8" hidden="1">
      <c r="A7" s="342">
        <v>42460</v>
      </c>
      <c r="B7" s="342"/>
      <c r="C7" s="342"/>
      <c r="D7" s="342"/>
      <c r="E7" s="342"/>
      <c r="F7" s="342"/>
    </row>
    <row r="8" spans="1:8">
      <c r="A8" s="38"/>
      <c r="B8" s="38"/>
      <c r="C8" s="38"/>
      <c r="D8" s="38"/>
      <c r="E8" s="38"/>
      <c r="F8" s="38"/>
    </row>
    <row r="9" spans="1:8" ht="13.5" thickBot="1">
      <c r="C9" s="17" t="s">
        <v>251</v>
      </c>
      <c r="D9" s="17" t="s">
        <v>251</v>
      </c>
      <c r="E9" s="17" t="s">
        <v>251</v>
      </c>
      <c r="F9" s="17" t="s">
        <v>44</v>
      </c>
      <c r="G9" s="248" t="s">
        <v>1701</v>
      </c>
    </row>
    <row r="10" spans="1:8" ht="13.5" thickTop="1">
      <c r="A10" s="39"/>
      <c r="B10" s="40"/>
      <c r="C10" s="41" t="s">
        <v>55</v>
      </c>
      <c r="D10" s="41" t="s">
        <v>55</v>
      </c>
      <c r="E10" s="41" t="s">
        <v>55</v>
      </c>
      <c r="F10" s="41"/>
      <c r="G10" s="61"/>
    </row>
    <row r="11" spans="1:8" ht="13.5" thickBot="1">
      <c r="A11" s="42"/>
      <c r="B11" s="43"/>
      <c r="C11" s="44" t="s">
        <v>58</v>
      </c>
      <c r="D11" s="44" t="s">
        <v>57</v>
      </c>
      <c r="E11" s="44" t="s">
        <v>59</v>
      </c>
      <c r="F11" s="44" t="s">
        <v>57</v>
      </c>
      <c r="G11" s="62" t="s">
        <v>57</v>
      </c>
      <c r="H11" s="55" t="s">
        <v>252</v>
      </c>
    </row>
    <row r="12" spans="1:8" ht="13.5" thickTop="1">
      <c r="A12" s="45" t="s">
        <v>60</v>
      </c>
      <c r="B12" s="46"/>
      <c r="C12" s="47"/>
      <c r="D12" s="47"/>
      <c r="E12" s="47"/>
      <c r="F12" s="47"/>
    </row>
    <row r="13" spans="1:8">
      <c r="A13" s="30" t="s">
        <v>869</v>
      </c>
      <c r="B13" s="30" t="s">
        <v>870</v>
      </c>
      <c r="C13" s="56">
        <v>0</v>
      </c>
      <c r="D13" s="56">
        <v>57036.63</v>
      </c>
      <c r="E13" s="56">
        <v>57036.63</v>
      </c>
      <c r="F13" s="56">
        <v>57036.63</v>
      </c>
      <c r="G13" s="59">
        <f>'Fund Distributions'!K45</f>
        <v>68336.63</v>
      </c>
      <c r="H13" t="s">
        <v>1785</v>
      </c>
    </row>
    <row r="14" spans="1:8">
      <c r="A14" s="30" t="s">
        <v>871</v>
      </c>
      <c r="B14" s="30" t="s">
        <v>872</v>
      </c>
      <c r="C14" s="56">
        <v>0</v>
      </c>
      <c r="D14" s="56">
        <v>36540</v>
      </c>
      <c r="E14" s="56">
        <v>36540</v>
      </c>
      <c r="F14" s="56">
        <v>36540</v>
      </c>
      <c r="G14" s="59">
        <f>'Dept 13'!G47</f>
        <v>36540</v>
      </c>
    </row>
    <row r="15" spans="1:8">
      <c r="A15" s="30" t="s">
        <v>873</v>
      </c>
      <c r="B15" s="30" t="s">
        <v>874</v>
      </c>
      <c r="C15" s="56">
        <v>0</v>
      </c>
      <c r="D15" s="56">
        <v>10000</v>
      </c>
      <c r="E15" s="56">
        <v>10000</v>
      </c>
      <c r="F15" s="56">
        <v>10000</v>
      </c>
      <c r="G15" s="59">
        <f>F15</f>
        <v>10000</v>
      </c>
    </row>
    <row r="16" spans="1:8">
      <c r="A16" s="30" t="s">
        <v>875</v>
      </c>
      <c r="B16" s="30" t="s">
        <v>876</v>
      </c>
      <c r="C16" s="56">
        <v>0</v>
      </c>
      <c r="D16" s="56">
        <v>5819</v>
      </c>
      <c r="E16" s="56">
        <v>5819</v>
      </c>
      <c r="F16" s="56">
        <v>0</v>
      </c>
      <c r="G16" s="59">
        <v>0</v>
      </c>
    </row>
    <row r="17" spans="1:7">
      <c r="A17" s="30"/>
      <c r="B17" s="30"/>
      <c r="C17" s="56"/>
      <c r="D17" s="56"/>
      <c r="E17" s="56"/>
      <c r="F17" s="56"/>
    </row>
    <row r="18" spans="1:7">
      <c r="A18" s="49" t="s">
        <v>115</v>
      </c>
      <c r="B18" s="50"/>
      <c r="C18" s="57">
        <v>0</v>
      </c>
      <c r="D18" s="57">
        <v>109395.63</v>
      </c>
      <c r="E18" s="57">
        <v>109395.63</v>
      </c>
      <c r="F18" s="57">
        <v>103576.63</v>
      </c>
      <c r="G18" s="75">
        <f>SUM(G13:G16)</f>
        <v>114876.63</v>
      </c>
    </row>
    <row r="19" spans="1:7">
      <c r="A19" s="46"/>
      <c r="C19" s="56"/>
      <c r="D19" s="56"/>
      <c r="E19" s="56"/>
      <c r="F19" s="56"/>
    </row>
    <row r="20" spans="1:7">
      <c r="A20" s="45" t="s">
        <v>116</v>
      </c>
      <c r="C20" s="56"/>
      <c r="D20" s="56"/>
      <c r="E20" s="56"/>
      <c r="F20" s="56"/>
    </row>
    <row r="21" spans="1:7">
      <c r="A21" s="30" t="s">
        <v>877</v>
      </c>
      <c r="B21" s="30" t="s">
        <v>878</v>
      </c>
      <c r="C21" s="56">
        <v>40153</v>
      </c>
      <c r="D21" s="56">
        <v>51029.16</v>
      </c>
      <c r="E21" s="56">
        <v>10876.160000000003</v>
      </c>
      <c r="F21" s="56">
        <v>51029</v>
      </c>
      <c r="G21" s="59">
        <v>52830.33</v>
      </c>
    </row>
    <row r="22" spans="1:7">
      <c r="A22" s="30" t="s">
        <v>879</v>
      </c>
      <c r="B22" s="30" t="s">
        <v>880</v>
      </c>
      <c r="C22" s="56">
        <v>31735.4</v>
      </c>
      <c r="D22" s="56">
        <v>41256.019999999997</v>
      </c>
      <c r="E22" s="56">
        <v>9520.6199999999953</v>
      </c>
      <c r="F22" s="56">
        <v>41256</v>
      </c>
      <c r="G22" s="59">
        <v>42712.34</v>
      </c>
    </row>
    <row r="23" spans="1:7">
      <c r="A23" s="30" t="s">
        <v>881</v>
      </c>
      <c r="B23" s="30" t="s">
        <v>882</v>
      </c>
      <c r="C23" s="56">
        <f>8500-1850.95</f>
        <v>6649.05</v>
      </c>
      <c r="D23" s="56">
        <v>8500</v>
      </c>
      <c r="E23" s="56">
        <v>1850.9499999999998</v>
      </c>
      <c r="F23" s="56">
        <v>5928</v>
      </c>
      <c r="G23" s="59">
        <v>6137.26</v>
      </c>
    </row>
    <row r="24" spans="1:7">
      <c r="A24" s="30" t="s">
        <v>883</v>
      </c>
      <c r="B24" s="30" t="s">
        <v>884</v>
      </c>
      <c r="C24" s="56">
        <v>1773.25</v>
      </c>
      <c r="D24" s="56">
        <v>2642.92</v>
      </c>
      <c r="E24" s="56">
        <v>869.67000000000007</v>
      </c>
      <c r="F24" s="56">
        <v>2364.333333333333</v>
      </c>
      <c r="G24" s="59">
        <f>C24/9*12</f>
        <v>2364.333333333333</v>
      </c>
    </row>
    <row r="25" spans="1:7">
      <c r="A25" s="30" t="s">
        <v>885</v>
      </c>
      <c r="B25" s="30" t="s">
        <v>886</v>
      </c>
      <c r="C25" s="56">
        <v>3032.07</v>
      </c>
      <c r="D25" s="56">
        <v>3150</v>
      </c>
      <c r="E25" s="56">
        <v>117.92999999999984</v>
      </c>
      <c r="F25" s="56">
        <v>4042.76</v>
      </c>
      <c r="G25" s="59">
        <f>C25/9*12</f>
        <v>4042.76</v>
      </c>
    </row>
    <row r="26" spans="1:7">
      <c r="A26" s="30" t="s">
        <v>887</v>
      </c>
      <c r="B26" s="30" t="s">
        <v>888</v>
      </c>
      <c r="C26" s="56">
        <v>0</v>
      </c>
      <c r="D26" s="56">
        <v>3000</v>
      </c>
      <c r="E26" s="56">
        <v>3000</v>
      </c>
      <c r="F26" s="56">
        <v>3000</v>
      </c>
      <c r="G26" s="59">
        <f>F26</f>
        <v>3000</v>
      </c>
    </row>
    <row r="27" spans="1:7">
      <c r="A27" s="30" t="s">
        <v>732</v>
      </c>
      <c r="B27" s="30" t="s">
        <v>889</v>
      </c>
      <c r="C27" s="56">
        <v>2782.63</v>
      </c>
      <c r="D27" s="56">
        <v>4600</v>
      </c>
      <c r="E27" s="56">
        <v>1817.37</v>
      </c>
      <c r="F27" s="56">
        <v>3710.1733333333336</v>
      </c>
      <c r="G27" s="59">
        <f>C27/9*12</f>
        <v>3710.1733333333336</v>
      </c>
    </row>
    <row r="28" spans="1:7">
      <c r="A28" s="30" t="s">
        <v>890</v>
      </c>
      <c r="B28" s="30" t="s">
        <v>891</v>
      </c>
      <c r="C28" s="56">
        <v>0</v>
      </c>
      <c r="D28" s="56">
        <v>1000</v>
      </c>
      <c r="E28" s="56">
        <v>1000</v>
      </c>
      <c r="F28" s="56">
        <v>1000</v>
      </c>
      <c r="G28" s="59">
        <f>F28</f>
        <v>1000</v>
      </c>
    </row>
    <row r="29" spans="1:7">
      <c r="A29" s="30" t="s">
        <v>357</v>
      </c>
      <c r="B29" s="30" t="s">
        <v>892</v>
      </c>
      <c r="C29" s="56">
        <v>2480.2800000000002</v>
      </c>
      <c r="D29" s="56">
        <v>2860</v>
      </c>
      <c r="E29" s="56">
        <v>379.7199999999998</v>
      </c>
      <c r="F29" s="56">
        <v>3000</v>
      </c>
      <c r="G29" s="59">
        <v>3000</v>
      </c>
    </row>
    <row r="30" spans="1:7">
      <c r="A30" s="30" t="s">
        <v>893</v>
      </c>
      <c r="B30" s="30" t="s">
        <v>894</v>
      </c>
      <c r="C30" s="56">
        <v>202.24</v>
      </c>
      <c r="D30" s="56">
        <v>0</v>
      </c>
      <c r="E30" s="56">
        <v>-202.24</v>
      </c>
      <c r="F30" s="56">
        <v>0</v>
      </c>
      <c r="G30" s="59">
        <v>1546</v>
      </c>
    </row>
    <row r="31" spans="1:7">
      <c r="A31" s="30" t="s">
        <v>895</v>
      </c>
      <c r="B31" s="30" t="s">
        <v>896</v>
      </c>
      <c r="C31" s="56">
        <v>3556.5</v>
      </c>
      <c r="D31" s="56">
        <v>4166.04</v>
      </c>
      <c r="E31" s="56">
        <v>609.54</v>
      </c>
      <c r="F31" s="56">
        <v>4316</v>
      </c>
      <c r="G31" s="59">
        <v>4316</v>
      </c>
    </row>
    <row r="32" spans="1:7">
      <c r="A32" s="30" t="s">
        <v>897</v>
      </c>
      <c r="B32" s="30" t="s">
        <v>898</v>
      </c>
      <c r="C32" s="56">
        <v>3965.37</v>
      </c>
      <c r="D32" s="56">
        <v>3754</v>
      </c>
      <c r="E32" s="56">
        <v>-211.36999999999989</v>
      </c>
      <c r="F32" s="56">
        <v>4000</v>
      </c>
      <c r="G32" s="59">
        <v>4000</v>
      </c>
    </row>
    <row r="33" spans="1:7">
      <c r="A33" s="30" t="s">
        <v>899</v>
      </c>
      <c r="B33" s="30" t="s">
        <v>900</v>
      </c>
      <c r="C33" s="56">
        <v>8689.11</v>
      </c>
      <c r="D33" s="56">
        <v>6000</v>
      </c>
      <c r="E33" s="56">
        <v>-2689.1100000000006</v>
      </c>
      <c r="F33" s="56">
        <v>7000</v>
      </c>
      <c r="G33" s="59">
        <v>7000</v>
      </c>
    </row>
    <row r="34" spans="1:7">
      <c r="A34" s="30" t="s">
        <v>901</v>
      </c>
      <c r="B34" s="30" t="s">
        <v>902</v>
      </c>
      <c r="C34" s="56">
        <v>1790.14</v>
      </c>
      <c r="D34" s="56">
        <v>2000</v>
      </c>
      <c r="E34" s="56">
        <v>209.8599999999999</v>
      </c>
      <c r="F34" s="56">
        <v>2000</v>
      </c>
      <c r="G34" s="59">
        <f>F34</f>
        <v>2000</v>
      </c>
    </row>
    <row r="35" spans="1:7">
      <c r="A35" s="30" t="s">
        <v>903</v>
      </c>
      <c r="B35" s="30" t="s">
        <v>904</v>
      </c>
      <c r="C35" s="56">
        <v>2321.75</v>
      </c>
      <c r="D35" s="56">
        <v>1000</v>
      </c>
      <c r="E35" s="56">
        <v>-1321.75</v>
      </c>
      <c r="F35" s="56">
        <v>3000</v>
      </c>
      <c r="G35" s="59">
        <f>3000</f>
        <v>3000</v>
      </c>
    </row>
    <row r="36" spans="1:7">
      <c r="A36" s="30" t="s">
        <v>179</v>
      </c>
      <c r="B36" s="30" t="s">
        <v>905</v>
      </c>
      <c r="C36" s="56">
        <v>4726.08</v>
      </c>
      <c r="D36" s="56">
        <v>1890.64</v>
      </c>
      <c r="E36" s="56">
        <v>-2835.4399999999996</v>
      </c>
      <c r="F36" s="56">
        <v>3000</v>
      </c>
      <c r="G36" s="59">
        <f>3000</f>
        <v>3000</v>
      </c>
    </row>
    <row r="37" spans="1:7">
      <c r="A37" s="30" t="s">
        <v>906</v>
      </c>
      <c r="B37" s="30" t="s">
        <v>907</v>
      </c>
      <c r="C37" s="56">
        <v>0</v>
      </c>
      <c r="D37" s="56">
        <v>1794.88</v>
      </c>
      <c r="E37" s="56">
        <v>1794.88</v>
      </c>
      <c r="F37" s="56">
        <v>1794.88</v>
      </c>
      <c r="G37" s="59">
        <f>F37</f>
        <v>1794.88</v>
      </c>
    </row>
    <row r="38" spans="1:7">
      <c r="A38" s="30" t="s">
        <v>908</v>
      </c>
      <c r="B38" s="30" t="s">
        <v>909</v>
      </c>
      <c r="C38" s="56">
        <v>227</v>
      </c>
      <c r="D38" s="56">
        <v>331</v>
      </c>
      <c r="E38" s="56">
        <v>104</v>
      </c>
      <c r="F38" s="56">
        <v>0</v>
      </c>
      <c r="G38" s="59">
        <v>0</v>
      </c>
    </row>
    <row r="39" spans="1:7">
      <c r="A39" s="30" t="s">
        <v>910</v>
      </c>
      <c r="B39" s="30" t="s">
        <v>911</v>
      </c>
      <c r="C39" s="56">
        <v>10479.9</v>
      </c>
      <c r="D39" s="56">
        <v>0</v>
      </c>
      <c r="E39" s="56">
        <v>-10479.9</v>
      </c>
      <c r="F39" s="56">
        <v>0</v>
      </c>
      <c r="G39" s="59">
        <v>11300</v>
      </c>
    </row>
    <row r="40" spans="1:7">
      <c r="C40" s="56"/>
      <c r="D40" s="56"/>
      <c r="E40" s="56"/>
      <c r="F40" s="56"/>
    </row>
    <row r="41" spans="1:7">
      <c r="A41" s="49" t="s">
        <v>249</v>
      </c>
      <c r="B41" s="52"/>
      <c r="C41" s="57">
        <v>124563.77</v>
      </c>
      <c r="D41" s="57">
        <v>138974.66</v>
      </c>
      <c r="E41" s="57">
        <v>14410.890000000005</v>
      </c>
      <c r="F41" s="57">
        <v>140441.14666666667</v>
      </c>
      <c r="G41" s="75">
        <f>SUM(G21:G39)</f>
        <v>156754.07666666666</v>
      </c>
    </row>
    <row r="42" spans="1:7">
      <c r="C42" s="56"/>
      <c r="D42" s="56"/>
      <c r="E42" s="56"/>
      <c r="F42" s="56"/>
    </row>
    <row r="43" spans="1:7" ht="13.5" thickBot="1">
      <c r="A43" s="43" t="s">
        <v>250</v>
      </c>
      <c r="B43" s="53"/>
      <c r="C43" s="54">
        <v>-124563.77</v>
      </c>
      <c r="D43" s="54">
        <v>-29579.03</v>
      </c>
      <c r="E43" s="54">
        <v>94984.74</v>
      </c>
      <c r="F43" s="54">
        <v>-36864.516666666663</v>
      </c>
      <c r="G43" s="73">
        <f>G18-G41</f>
        <v>-41877.446666666656</v>
      </c>
    </row>
    <row r="44" spans="1:7" ht="13.5" thickTop="1"/>
  </sheetData>
  <mergeCells count="2">
    <mergeCell ref="A4:F4"/>
    <mergeCell ref="A7:F7"/>
  </mergeCells>
  <pageMargins left="0.7" right="0.7" top="0.75" bottom="0.75" header="0.3" footer="0.3"/>
  <pageSetup scale="99" orientation="landscape" horizontalDpi="4294967293" vertic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6"/>
  <sheetViews>
    <sheetView zoomScale="150" zoomScaleNormal="150" workbookViewId="0">
      <selection activeCell="A4" sqref="A4:F4"/>
    </sheetView>
  </sheetViews>
  <sheetFormatPr defaultRowHeight="12.75"/>
  <cols>
    <col min="1" max="1" width="46.42578125" bestFit="1" customWidth="1"/>
    <col min="2" max="2" width="8.7109375" customWidth="1"/>
    <col min="3" max="5" width="14.28515625" hidden="1" customWidth="1"/>
    <col min="6" max="6" width="14.28515625" customWidth="1"/>
    <col min="7" max="7" width="9.7109375" style="59" bestFit="1" customWidth="1"/>
    <col min="8" max="8" width="19.7109375" customWidth="1"/>
    <col min="256" max="256" width="46.42578125" bestFit="1" customWidth="1"/>
    <col min="257" max="257" width="8.7109375" customWidth="1"/>
    <col min="258" max="262" width="14.28515625" customWidth="1"/>
    <col min="512" max="512" width="46.42578125" bestFit="1" customWidth="1"/>
    <col min="513" max="513" width="8.7109375" customWidth="1"/>
    <col min="514" max="518" width="14.28515625" customWidth="1"/>
    <col min="768" max="768" width="46.42578125" bestFit="1" customWidth="1"/>
    <col min="769" max="769" width="8.7109375" customWidth="1"/>
    <col min="770" max="774" width="14.28515625" customWidth="1"/>
    <col min="1024" max="1024" width="46.42578125" bestFit="1" customWidth="1"/>
    <col min="1025" max="1025" width="8.7109375" customWidth="1"/>
    <col min="1026" max="1030" width="14.28515625" customWidth="1"/>
    <col min="1280" max="1280" width="46.42578125" bestFit="1" customWidth="1"/>
    <col min="1281" max="1281" width="8.7109375" customWidth="1"/>
    <col min="1282" max="1286" width="14.28515625" customWidth="1"/>
    <col min="1536" max="1536" width="46.42578125" bestFit="1" customWidth="1"/>
    <col min="1537" max="1537" width="8.7109375" customWidth="1"/>
    <col min="1538" max="1542" width="14.28515625" customWidth="1"/>
    <col min="1792" max="1792" width="46.42578125" bestFit="1" customWidth="1"/>
    <col min="1793" max="1793" width="8.7109375" customWidth="1"/>
    <col min="1794" max="1798" width="14.28515625" customWidth="1"/>
    <col min="2048" max="2048" width="46.42578125" bestFit="1" customWidth="1"/>
    <col min="2049" max="2049" width="8.7109375" customWidth="1"/>
    <col min="2050" max="2054" width="14.28515625" customWidth="1"/>
    <col min="2304" max="2304" width="46.42578125" bestFit="1" customWidth="1"/>
    <col min="2305" max="2305" width="8.7109375" customWidth="1"/>
    <col min="2306" max="2310" width="14.28515625" customWidth="1"/>
    <col min="2560" max="2560" width="46.42578125" bestFit="1" customWidth="1"/>
    <col min="2561" max="2561" width="8.7109375" customWidth="1"/>
    <col min="2562" max="2566" width="14.28515625" customWidth="1"/>
    <col min="2816" max="2816" width="46.42578125" bestFit="1" customWidth="1"/>
    <col min="2817" max="2817" width="8.7109375" customWidth="1"/>
    <col min="2818" max="2822" width="14.28515625" customWidth="1"/>
    <col min="3072" max="3072" width="46.42578125" bestFit="1" customWidth="1"/>
    <col min="3073" max="3073" width="8.7109375" customWidth="1"/>
    <col min="3074" max="3078" width="14.28515625" customWidth="1"/>
    <col min="3328" max="3328" width="46.42578125" bestFit="1" customWidth="1"/>
    <col min="3329" max="3329" width="8.7109375" customWidth="1"/>
    <col min="3330" max="3334" width="14.28515625" customWidth="1"/>
    <col min="3584" max="3584" width="46.42578125" bestFit="1" customWidth="1"/>
    <col min="3585" max="3585" width="8.7109375" customWidth="1"/>
    <col min="3586" max="3590" width="14.28515625" customWidth="1"/>
    <col min="3840" max="3840" width="46.42578125" bestFit="1" customWidth="1"/>
    <col min="3841" max="3841" width="8.7109375" customWidth="1"/>
    <col min="3842" max="3846" width="14.28515625" customWidth="1"/>
    <col min="4096" max="4096" width="46.42578125" bestFit="1" customWidth="1"/>
    <col min="4097" max="4097" width="8.7109375" customWidth="1"/>
    <col min="4098" max="4102" width="14.28515625" customWidth="1"/>
    <col min="4352" max="4352" width="46.42578125" bestFit="1" customWidth="1"/>
    <col min="4353" max="4353" width="8.7109375" customWidth="1"/>
    <col min="4354" max="4358" width="14.28515625" customWidth="1"/>
    <col min="4608" max="4608" width="46.42578125" bestFit="1" customWidth="1"/>
    <col min="4609" max="4609" width="8.7109375" customWidth="1"/>
    <col min="4610" max="4614" width="14.28515625" customWidth="1"/>
    <col min="4864" max="4864" width="46.42578125" bestFit="1" customWidth="1"/>
    <col min="4865" max="4865" width="8.7109375" customWidth="1"/>
    <col min="4866" max="4870" width="14.28515625" customWidth="1"/>
    <col min="5120" max="5120" width="46.42578125" bestFit="1" customWidth="1"/>
    <col min="5121" max="5121" width="8.7109375" customWidth="1"/>
    <col min="5122" max="5126" width="14.28515625" customWidth="1"/>
    <col min="5376" max="5376" width="46.42578125" bestFit="1" customWidth="1"/>
    <col min="5377" max="5377" width="8.7109375" customWidth="1"/>
    <col min="5378" max="5382" width="14.28515625" customWidth="1"/>
    <col min="5632" max="5632" width="46.42578125" bestFit="1" customWidth="1"/>
    <col min="5633" max="5633" width="8.7109375" customWidth="1"/>
    <col min="5634" max="5638" width="14.28515625" customWidth="1"/>
    <col min="5888" max="5888" width="46.42578125" bestFit="1" customWidth="1"/>
    <col min="5889" max="5889" width="8.7109375" customWidth="1"/>
    <col min="5890" max="5894" width="14.28515625" customWidth="1"/>
    <col min="6144" max="6144" width="46.42578125" bestFit="1" customWidth="1"/>
    <col min="6145" max="6145" width="8.7109375" customWidth="1"/>
    <col min="6146" max="6150" width="14.28515625" customWidth="1"/>
    <col min="6400" max="6400" width="46.42578125" bestFit="1" customWidth="1"/>
    <col min="6401" max="6401" width="8.7109375" customWidth="1"/>
    <col min="6402" max="6406" width="14.28515625" customWidth="1"/>
    <col min="6656" max="6656" width="46.42578125" bestFit="1" customWidth="1"/>
    <col min="6657" max="6657" width="8.7109375" customWidth="1"/>
    <col min="6658" max="6662" width="14.28515625" customWidth="1"/>
    <col min="6912" max="6912" width="46.42578125" bestFit="1" customWidth="1"/>
    <col min="6913" max="6913" width="8.7109375" customWidth="1"/>
    <col min="6914" max="6918" width="14.28515625" customWidth="1"/>
    <col min="7168" max="7168" width="46.42578125" bestFit="1" customWidth="1"/>
    <col min="7169" max="7169" width="8.7109375" customWidth="1"/>
    <col min="7170" max="7174" width="14.28515625" customWidth="1"/>
    <col min="7424" max="7424" width="46.42578125" bestFit="1" customWidth="1"/>
    <col min="7425" max="7425" width="8.7109375" customWidth="1"/>
    <col min="7426" max="7430" width="14.28515625" customWidth="1"/>
    <col min="7680" max="7680" width="46.42578125" bestFit="1" customWidth="1"/>
    <col min="7681" max="7681" width="8.7109375" customWidth="1"/>
    <col min="7682" max="7686" width="14.28515625" customWidth="1"/>
    <col min="7936" max="7936" width="46.42578125" bestFit="1" customWidth="1"/>
    <col min="7937" max="7937" width="8.7109375" customWidth="1"/>
    <col min="7938" max="7942" width="14.28515625" customWidth="1"/>
    <col min="8192" max="8192" width="46.42578125" bestFit="1" customWidth="1"/>
    <col min="8193" max="8193" width="8.7109375" customWidth="1"/>
    <col min="8194" max="8198" width="14.28515625" customWidth="1"/>
    <col min="8448" max="8448" width="46.42578125" bestFit="1" customWidth="1"/>
    <col min="8449" max="8449" width="8.7109375" customWidth="1"/>
    <col min="8450" max="8454" width="14.28515625" customWidth="1"/>
    <col min="8704" max="8704" width="46.42578125" bestFit="1" customWidth="1"/>
    <col min="8705" max="8705" width="8.7109375" customWidth="1"/>
    <col min="8706" max="8710" width="14.28515625" customWidth="1"/>
    <col min="8960" max="8960" width="46.42578125" bestFit="1" customWidth="1"/>
    <col min="8961" max="8961" width="8.7109375" customWidth="1"/>
    <col min="8962" max="8966" width="14.28515625" customWidth="1"/>
    <col min="9216" max="9216" width="46.42578125" bestFit="1" customWidth="1"/>
    <col min="9217" max="9217" width="8.7109375" customWidth="1"/>
    <col min="9218" max="9222" width="14.28515625" customWidth="1"/>
    <col min="9472" max="9472" width="46.42578125" bestFit="1" customWidth="1"/>
    <col min="9473" max="9473" width="8.7109375" customWidth="1"/>
    <col min="9474" max="9478" width="14.28515625" customWidth="1"/>
    <col min="9728" max="9728" width="46.42578125" bestFit="1" customWidth="1"/>
    <col min="9729" max="9729" width="8.7109375" customWidth="1"/>
    <col min="9730" max="9734" width="14.28515625" customWidth="1"/>
    <col min="9984" max="9984" width="46.42578125" bestFit="1" customWidth="1"/>
    <col min="9985" max="9985" width="8.7109375" customWidth="1"/>
    <col min="9986" max="9990" width="14.28515625" customWidth="1"/>
    <col min="10240" max="10240" width="46.42578125" bestFit="1" customWidth="1"/>
    <col min="10241" max="10241" width="8.7109375" customWidth="1"/>
    <col min="10242" max="10246" width="14.28515625" customWidth="1"/>
    <col min="10496" max="10496" width="46.42578125" bestFit="1" customWidth="1"/>
    <col min="10497" max="10497" width="8.7109375" customWidth="1"/>
    <col min="10498" max="10502" width="14.28515625" customWidth="1"/>
    <col min="10752" max="10752" width="46.42578125" bestFit="1" customWidth="1"/>
    <col min="10753" max="10753" width="8.7109375" customWidth="1"/>
    <col min="10754" max="10758" width="14.28515625" customWidth="1"/>
    <col min="11008" max="11008" width="46.42578125" bestFit="1" customWidth="1"/>
    <col min="11009" max="11009" width="8.7109375" customWidth="1"/>
    <col min="11010" max="11014" width="14.28515625" customWidth="1"/>
    <col min="11264" max="11264" width="46.42578125" bestFit="1" customWidth="1"/>
    <col min="11265" max="11265" width="8.7109375" customWidth="1"/>
    <col min="11266" max="11270" width="14.28515625" customWidth="1"/>
    <col min="11520" max="11520" width="46.42578125" bestFit="1" customWidth="1"/>
    <col min="11521" max="11521" width="8.7109375" customWidth="1"/>
    <col min="11522" max="11526" width="14.28515625" customWidth="1"/>
    <col min="11776" max="11776" width="46.42578125" bestFit="1" customWidth="1"/>
    <col min="11777" max="11777" width="8.7109375" customWidth="1"/>
    <col min="11778" max="11782" width="14.28515625" customWidth="1"/>
    <col min="12032" max="12032" width="46.42578125" bestFit="1" customWidth="1"/>
    <col min="12033" max="12033" width="8.7109375" customWidth="1"/>
    <col min="12034" max="12038" width="14.28515625" customWidth="1"/>
    <col min="12288" max="12288" width="46.42578125" bestFit="1" customWidth="1"/>
    <col min="12289" max="12289" width="8.7109375" customWidth="1"/>
    <col min="12290" max="12294" width="14.28515625" customWidth="1"/>
    <col min="12544" max="12544" width="46.42578125" bestFit="1" customWidth="1"/>
    <col min="12545" max="12545" width="8.7109375" customWidth="1"/>
    <col min="12546" max="12550" width="14.28515625" customWidth="1"/>
    <col min="12800" max="12800" width="46.42578125" bestFit="1" customWidth="1"/>
    <col min="12801" max="12801" width="8.7109375" customWidth="1"/>
    <col min="12802" max="12806" width="14.28515625" customWidth="1"/>
    <col min="13056" max="13056" width="46.42578125" bestFit="1" customWidth="1"/>
    <col min="13057" max="13057" width="8.7109375" customWidth="1"/>
    <col min="13058" max="13062" width="14.28515625" customWidth="1"/>
    <col min="13312" max="13312" width="46.42578125" bestFit="1" customWidth="1"/>
    <col min="13313" max="13313" width="8.7109375" customWidth="1"/>
    <col min="13314" max="13318" width="14.28515625" customWidth="1"/>
    <col min="13568" max="13568" width="46.42578125" bestFit="1" customWidth="1"/>
    <col min="13569" max="13569" width="8.7109375" customWidth="1"/>
    <col min="13570" max="13574" width="14.28515625" customWidth="1"/>
    <col min="13824" max="13824" width="46.42578125" bestFit="1" customWidth="1"/>
    <col min="13825" max="13825" width="8.7109375" customWidth="1"/>
    <col min="13826" max="13830" width="14.28515625" customWidth="1"/>
    <col min="14080" max="14080" width="46.42578125" bestFit="1" customWidth="1"/>
    <col min="14081" max="14081" width="8.7109375" customWidth="1"/>
    <col min="14082" max="14086" width="14.28515625" customWidth="1"/>
    <col min="14336" max="14336" width="46.42578125" bestFit="1" customWidth="1"/>
    <col min="14337" max="14337" width="8.7109375" customWidth="1"/>
    <col min="14338" max="14342" width="14.28515625" customWidth="1"/>
    <col min="14592" max="14592" width="46.42578125" bestFit="1" customWidth="1"/>
    <col min="14593" max="14593" width="8.7109375" customWidth="1"/>
    <col min="14594" max="14598" width="14.28515625" customWidth="1"/>
    <col min="14848" max="14848" width="46.42578125" bestFit="1" customWidth="1"/>
    <col min="14849" max="14849" width="8.7109375" customWidth="1"/>
    <col min="14850" max="14854" width="14.28515625" customWidth="1"/>
    <col min="15104" max="15104" width="46.42578125" bestFit="1" customWidth="1"/>
    <col min="15105" max="15105" width="8.7109375" customWidth="1"/>
    <col min="15106" max="15110" width="14.28515625" customWidth="1"/>
    <col min="15360" max="15360" width="46.42578125" bestFit="1" customWidth="1"/>
    <col min="15361" max="15361" width="8.7109375" customWidth="1"/>
    <col min="15362" max="15366" width="14.28515625" customWidth="1"/>
    <col min="15616" max="15616" width="46.42578125" bestFit="1" customWidth="1"/>
    <col min="15617" max="15617" width="8.7109375" customWidth="1"/>
    <col min="15618" max="15622" width="14.28515625" customWidth="1"/>
    <col min="15872" max="15872" width="46.42578125" bestFit="1" customWidth="1"/>
    <col min="15873" max="15873" width="8.7109375" customWidth="1"/>
    <col min="15874" max="15878" width="14.28515625" customWidth="1"/>
    <col min="16128" max="16128" width="46.42578125" bestFit="1" customWidth="1"/>
    <col min="16129" max="16129" width="8.7109375" customWidth="1"/>
    <col min="16130" max="16134" width="14.28515625" customWidth="1"/>
  </cols>
  <sheetData>
    <row r="3" spans="1:8" ht="15">
      <c r="A3" s="35" t="s">
        <v>1825</v>
      </c>
      <c r="B3" s="34"/>
      <c r="C3" s="34"/>
      <c r="D3" s="34"/>
      <c r="E3" s="34"/>
      <c r="F3" s="34"/>
    </row>
    <row r="4" spans="1:8" ht="15">
      <c r="A4" s="341" t="s">
        <v>912</v>
      </c>
      <c r="B4" s="341"/>
      <c r="C4" s="341"/>
      <c r="D4" s="341"/>
      <c r="E4" s="341"/>
      <c r="F4" s="341"/>
    </row>
    <row r="5" spans="1:8" ht="15" hidden="1">
      <c r="A5" s="36" t="s">
        <v>54</v>
      </c>
      <c r="B5" s="34"/>
      <c r="C5" s="34"/>
      <c r="D5" s="34"/>
      <c r="E5" s="34"/>
      <c r="F5" s="34"/>
    </row>
    <row r="6" spans="1:8" hidden="1">
      <c r="A6" s="37" t="s">
        <v>54</v>
      </c>
      <c r="B6" s="34"/>
      <c r="C6" s="34"/>
      <c r="D6" s="34"/>
      <c r="E6" s="34"/>
      <c r="F6" s="34"/>
    </row>
    <row r="7" spans="1:8" hidden="1">
      <c r="A7" s="342">
        <v>42460</v>
      </c>
      <c r="B7" s="342"/>
      <c r="C7" s="342"/>
      <c r="D7" s="342"/>
      <c r="E7" s="342"/>
      <c r="F7" s="342"/>
    </row>
    <row r="8" spans="1:8">
      <c r="A8" s="38"/>
      <c r="B8" s="38"/>
      <c r="C8" s="38"/>
      <c r="D8" s="38"/>
      <c r="E8" s="38"/>
      <c r="F8" s="38"/>
    </row>
    <row r="9" spans="1:8" ht="13.5" thickBot="1">
      <c r="C9" s="17" t="s">
        <v>251</v>
      </c>
      <c r="D9" s="17" t="s">
        <v>251</v>
      </c>
      <c r="E9" s="17" t="s">
        <v>251</v>
      </c>
      <c r="F9" s="17" t="s">
        <v>44</v>
      </c>
      <c r="G9" s="248" t="s">
        <v>1701</v>
      </c>
    </row>
    <row r="10" spans="1:8" ht="13.5" thickTop="1">
      <c r="A10" s="39"/>
      <c r="B10" s="40"/>
      <c r="C10" s="41" t="s">
        <v>55</v>
      </c>
      <c r="D10" s="41" t="s">
        <v>55</v>
      </c>
      <c r="E10" s="41" t="s">
        <v>55</v>
      </c>
      <c r="F10" s="41"/>
      <c r="G10" s="61"/>
    </row>
    <row r="11" spans="1:8" ht="13.5" thickBot="1">
      <c r="A11" s="42"/>
      <c r="B11" s="43"/>
      <c r="C11" s="44" t="s">
        <v>58</v>
      </c>
      <c r="D11" s="44" t="s">
        <v>57</v>
      </c>
      <c r="E11" s="44" t="s">
        <v>59</v>
      </c>
      <c r="F11" s="44" t="s">
        <v>57</v>
      </c>
      <c r="G11" s="62" t="s">
        <v>57</v>
      </c>
      <c r="H11" s="55" t="s">
        <v>252</v>
      </c>
    </row>
    <row r="12" spans="1:8" ht="13.5" thickTop="1">
      <c r="A12" s="45" t="s">
        <v>60</v>
      </c>
      <c r="B12" s="46"/>
      <c r="C12" s="47"/>
      <c r="D12" s="47"/>
      <c r="E12" s="47"/>
      <c r="F12" s="47"/>
    </row>
    <row r="13" spans="1:8">
      <c r="A13" s="30" t="s">
        <v>1807</v>
      </c>
      <c r="B13" s="30" t="s">
        <v>913</v>
      </c>
      <c r="C13" s="56">
        <v>0</v>
      </c>
      <c r="D13" s="56">
        <v>75000</v>
      </c>
      <c r="E13" s="56">
        <v>75000</v>
      </c>
      <c r="F13" s="56">
        <v>84250</v>
      </c>
      <c r="G13" s="59">
        <v>55000</v>
      </c>
      <c r="H13" t="s">
        <v>1027</v>
      </c>
    </row>
    <row r="14" spans="1:8">
      <c r="A14" s="30"/>
      <c r="B14" s="30"/>
      <c r="C14" s="56"/>
      <c r="D14" s="56"/>
      <c r="E14" s="56"/>
      <c r="F14" s="56"/>
    </row>
    <row r="15" spans="1:8">
      <c r="A15" s="49" t="s">
        <v>115</v>
      </c>
      <c r="B15" s="50"/>
      <c r="C15" s="57">
        <v>0</v>
      </c>
      <c r="D15" s="57">
        <v>75000</v>
      </c>
      <c r="E15" s="57">
        <v>75000</v>
      </c>
      <c r="F15" s="57">
        <v>84250</v>
      </c>
      <c r="G15" s="75">
        <f>SUM(G13:G14)</f>
        <v>55000</v>
      </c>
    </row>
    <row r="16" spans="1:8">
      <c r="A16" s="46"/>
      <c r="C16" s="56"/>
      <c r="D16" s="56"/>
      <c r="E16" s="56"/>
      <c r="F16" s="56"/>
    </row>
    <row r="17" spans="1:8">
      <c r="A17" s="45" t="s">
        <v>116</v>
      </c>
      <c r="C17" s="56"/>
      <c r="D17" s="56"/>
      <c r="E17" s="56"/>
      <c r="F17" s="56"/>
    </row>
    <row r="18" spans="1:8">
      <c r="A18" s="131" t="s">
        <v>1703</v>
      </c>
      <c r="C18" s="56"/>
      <c r="D18" s="56"/>
      <c r="E18" s="56"/>
      <c r="F18" s="56">
        <v>30250</v>
      </c>
      <c r="G18" s="59">
        <v>30250</v>
      </c>
      <c r="H18" t="s">
        <v>1072</v>
      </c>
    </row>
    <row r="19" spans="1:8">
      <c r="A19" s="30" t="s">
        <v>914</v>
      </c>
      <c r="B19" s="30" t="s">
        <v>915</v>
      </c>
      <c r="C19" s="56">
        <v>0</v>
      </c>
      <c r="D19" s="56">
        <v>5000</v>
      </c>
      <c r="E19" s="56">
        <v>5000</v>
      </c>
      <c r="F19" s="56">
        <v>5000</v>
      </c>
      <c r="G19" s="59">
        <f>F19</f>
        <v>5000</v>
      </c>
    </row>
    <row r="20" spans="1:8">
      <c r="A20" s="30" t="s">
        <v>165</v>
      </c>
      <c r="B20" s="30" t="s">
        <v>916</v>
      </c>
      <c r="C20" s="56">
        <v>2467</v>
      </c>
      <c r="D20" s="56">
        <v>61000</v>
      </c>
      <c r="E20" s="56">
        <v>58533</v>
      </c>
      <c r="F20" s="56">
        <v>40000</v>
      </c>
      <c r="G20" s="59">
        <v>15000</v>
      </c>
    </row>
    <row r="21" spans="1:8">
      <c r="A21" s="30" t="s">
        <v>917</v>
      </c>
      <c r="B21" s="30" t="s">
        <v>918</v>
      </c>
      <c r="C21" s="56">
        <v>750</v>
      </c>
      <c r="D21" s="56">
        <v>9000</v>
      </c>
      <c r="E21" s="56">
        <v>8250</v>
      </c>
      <c r="F21" s="56">
        <v>9000</v>
      </c>
      <c r="G21" s="59">
        <f>F21</f>
        <v>9000</v>
      </c>
    </row>
    <row r="22" spans="1:8">
      <c r="A22" s="30" t="s">
        <v>895</v>
      </c>
      <c r="B22" s="30" t="s">
        <v>1704</v>
      </c>
      <c r="C22" s="56"/>
      <c r="D22" s="56"/>
      <c r="E22" s="56"/>
      <c r="F22" s="56">
        <v>0</v>
      </c>
      <c r="G22" s="59">
        <v>5000</v>
      </c>
    </row>
    <row r="23" spans="1:8">
      <c r="A23" s="49" t="s">
        <v>249</v>
      </c>
      <c r="B23" s="52"/>
      <c r="C23" s="57">
        <v>3217</v>
      </c>
      <c r="D23" s="57">
        <v>75000</v>
      </c>
      <c r="E23" s="57">
        <v>71783</v>
      </c>
      <c r="F23" s="57">
        <v>84250</v>
      </c>
      <c r="G23" s="75">
        <f>SUM(G18:G22)</f>
        <v>64250</v>
      </c>
    </row>
    <row r="24" spans="1:8">
      <c r="C24" s="56"/>
      <c r="D24" s="56"/>
      <c r="E24" s="56"/>
      <c r="F24" s="56"/>
    </row>
    <row r="25" spans="1:8" ht="13.5" thickBot="1">
      <c r="A25" s="43" t="s">
        <v>250</v>
      </c>
      <c r="B25" s="53"/>
      <c r="C25" s="54">
        <v>-3217</v>
      </c>
      <c r="D25" s="54">
        <v>0</v>
      </c>
      <c r="E25" s="54">
        <v>3217</v>
      </c>
      <c r="F25" s="54">
        <v>0</v>
      </c>
      <c r="G25" s="73">
        <f>G15-G23</f>
        <v>-9250</v>
      </c>
    </row>
    <row r="26" spans="1:8" ht="13.5" thickTop="1"/>
  </sheetData>
  <mergeCells count="2">
    <mergeCell ref="A4:F4"/>
    <mergeCell ref="A7:F7"/>
  </mergeCells>
  <pageMargins left="0.7" right="0.7" top="0.75" bottom="0.75" header="0.3" footer="0.3"/>
  <pageSetup orientation="landscape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6"/>
  <sheetViews>
    <sheetView workbookViewId="0">
      <selection activeCell="A4" sqref="A4:F4"/>
    </sheetView>
  </sheetViews>
  <sheetFormatPr defaultRowHeight="12.75"/>
  <cols>
    <col min="1" max="1" width="46.42578125" bestFit="1" customWidth="1"/>
    <col min="2" max="2" width="8.7109375" customWidth="1"/>
    <col min="3" max="5" width="14.28515625" hidden="1" customWidth="1"/>
    <col min="6" max="6" width="14.28515625" customWidth="1"/>
    <col min="7" max="7" width="9.7109375" style="59" bestFit="1" customWidth="1"/>
    <col min="8" max="8" width="16.28515625" customWidth="1"/>
    <col min="256" max="256" width="46.42578125" bestFit="1" customWidth="1"/>
    <col min="257" max="257" width="8.7109375" customWidth="1"/>
    <col min="258" max="262" width="14.28515625" customWidth="1"/>
    <col min="512" max="512" width="46.42578125" bestFit="1" customWidth="1"/>
    <col min="513" max="513" width="8.7109375" customWidth="1"/>
    <col min="514" max="518" width="14.28515625" customWidth="1"/>
    <col min="768" max="768" width="46.42578125" bestFit="1" customWidth="1"/>
    <col min="769" max="769" width="8.7109375" customWidth="1"/>
    <col min="770" max="774" width="14.28515625" customWidth="1"/>
    <col min="1024" max="1024" width="46.42578125" bestFit="1" customWidth="1"/>
    <col min="1025" max="1025" width="8.7109375" customWidth="1"/>
    <col min="1026" max="1030" width="14.28515625" customWidth="1"/>
    <col min="1280" max="1280" width="46.42578125" bestFit="1" customWidth="1"/>
    <col min="1281" max="1281" width="8.7109375" customWidth="1"/>
    <col min="1282" max="1286" width="14.28515625" customWidth="1"/>
    <col min="1536" max="1536" width="46.42578125" bestFit="1" customWidth="1"/>
    <col min="1537" max="1537" width="8.7109375" customWidth="1"/>
    <col min="1538" max="1542" width="14.28515625" customWidth="1"/>
    <col min="1792" max="1792" width="46.42578125" bestFit="1" customWidth="1"/>
    <col min="1793" max="1793" width="8.7109375" customWidth="1"/>
    <col min="1794" max="1798" width="14.28515625" customWidth="1"/>
    <col min="2048" max="2048" width="46.42578125" bestFit="1" customWidth="1"/>
    <col min="2049" max="2049" width="8.7109375" customWidth="1"/>
    <col min="2050" max="2054" width="14.28515625" customWidth="1"/>
    <col min="2304" max="2304" width="46.42578125" bestFit="1" customWidth="1"/>
    <col min="2305" max="2305" width="8.7109375" customWidth="1"/>
    <col min="2306" max="2310" width="14.28515625" customWidth="1"/>
    <col min="2560" max="2560" width="46.42578125" bestFit="1" customWidth="1"/>
    <col min="2561" max="2561" width="8.7109375" customWidth="1"/>
    <col min="2562" max="2566" width="14.28515625" customWidth="1"/>
    <col min="2816" max="2816" width="46.42578125" bestFit="1" customWidth="1"/>
    <col min="2817" max="2817" width="8.7109375" customWidth="1"/>
    <col min="2818" max="2822" width="14.28515625" customWidth="1"/>
    <col min="3072" max="3072" width="46.42578125" bestFit="1" customWidth="1"/>
    <col min="3073" max="3073" width="8.7109375" customWidth="1"/>
    <col min="3074" max="3078" width="14.28515625" customWidth="1"/>
    <col min="3328" max="3328" width="46.42578125" bestFit="1" customWidth="1"/>
    <col min="3329" max="3329" width="8.7109375" customWidth="1"/>
    <col min="3330" max="3334" width="14.28515625" customWidth="1"/>
    <col min="3584" max="3584" width="46.42578125" bestFit="1" customWidth="1"/>
    <col min="3585" max="3585" width="8.7109375" customWidth="1"/>
    <col min="3586" max="3590" width="14.28515625" customWidth="1"/>
    <col min="3840" max="3840" width="46.42578125" bestFit="1" customWidth="1"/>
    <col min="3841" max="3841" width="8.7109375" customWidth="1"/>
    <col min="3842" max="3846" width="14.28515625" customWidth="1"/>
    <col min="4096" max="4096" width="46.42578125" bestFit="1" customWidth="1"/>
    <col min="4097" max="4097" width="8.7109375" customWidth="1"/>
    <col min="4098" max="4102" width="14.28515625" customWidth="1"/>
    <col min="4352" max="4352" width="46.42578125" bestFit="1" customWidth="1"/>
    <col min="4353" max="4353" width="8.7109375" customWidth="1"/>
    <col min="4354" max="4358" width="14.28515625" customWidth="1"/>
    <col min="4608" max="4608" width="46.42578125" bestFit="1" customWidth="1"/>
    <col min="4609" max="4609" width="8.7109375" customWidth="1"/>
    <col min="4610" max="4614" width="14.28515625" customWidth="1"/>
    <col min="4864" max="4864" width="46.42578125" bestFit="1" customWidth="1"/>
    <col min="4865" max="4865" width="8.7109375" customWidth="1"/>
    <col min="4866" max="4870" width="14.28515625" customWidth="1"/>
    <col min="5120" max="5120" width="46.42578125" bestFit="1" customWidth="1"/>
    <col min="5121" max="5121" width="8.7109375" customWidth="1"/>
    <col min="5122" max="5126" width="14.28515625" customWidth="1"/>
    <col min="5376" max="5376" width="46.42578125" bestFit="1" customWidth="1"/>
    <col min="5377" max="5377" width="8.7109375" customWidth="1"/>
    <col min="5378" max="5382" width="14.28515625" customWidth="1"/>
    <col min="5632" max="5632" width="46.42578125" bestFit="1" customWidth="1"/>
    <col min="5633" max="5633" width="8.7109375" customWidth="1"/>
    <col min="5634" max="5638" width="14.28515625" customWidth="1"/>
    <col min="5888" max="5888" width="46.42578125" bestFit="1" customWidth="1"/>
    <col min="5889" max="5889" width="8.7109375" customWidth="1"/>
    <col min="5890" max="5894" width="14.28515625" customWidth="1"/>
    <col min="6144" max="6144" width="46.42578125" bestFit="1" customWidth="1"/>
    <col min="6145" max="6145" width="8.7109375" customWidth="1"/>
    <col min="6146" max="6150" width="14.28515625" customWidth="1"/>
    <col min="6400" max="6400" width="46.42578125" bestFit="1" customWidth="1"/>
    <col min="6401" max="6401" width="8.7109375" customWidth="1"/>
    <col min="6402" max="6406" width="14.28515625" customWidth="1"/>
    <col min="6656" max="6656" width="46.42578125" bestFit="1" customWidth="1"/>
    <col min="6657" max="6657" width="8.7109375" customWidth="1"/>
    <col min="6658" max="6662" width="14.28515625" customWidth="1"/>
    <col min="6912" max="6912" width="46.42578125" bestFit="1" customWidth="1"/>
    <col min="6913" max="6913" width="8.7109375" customWidth="1"/>
    <col min="6914" max="6918" width="14.28515625" customWidth="1"/>
    <col min="7168" max="7168" width="46.42578125" bestFit="1" customWidth="1"/>
    <col min="7169" max="7169" width="8.7109375" customWidth="1"/>
    <col min="7170" max="7174" width="14.28515625" customWidth="1"/>
    <col min="7424" max="7424" width="46.42578125" bestFit="1" customWidth="1"/>
    <col min="7425" max="7425" width="8.7109375" customWidth="1"/>
    <col min="7426" max="7430" width="14.28515625" customWidth="1"/>
    <col min="7680" max="7680" width="46.42578125" bestFit="1" customWidth="1"/>
    <col min="7681" max="7681" width="8.7109375" customWidth="1"/>
    <col min="7682" max="7686" width="14.28515625" customWidth="1"/>
    <col min="7936" max="7936" width="46.42578125" bestFit="1" customWidth="1"/>
    <col min="7937" max="7937" width="8.7109375" customWidth="1"/>
    <col min="7938" max="7942" width="14.28515625" customWidth="1"/>
    <col min="8192" max="8192" width="46.42578125" bestFit="1" customWidth="1"/>
    <col min="8193" max="8193" width="8.7109375" customWidth="1"/>
    <col min="8194" max="8198" width="14.28515625" customWidth="1"/>
    <col min="8448" max="8448" width="46.42578125" bestFit="1" customWidth="1"/>
    <col min="8449" max="8449" width="8.7109375" customWidth="1"/>
    <col min="8450" max="8454" width="14.28515625" customWidth="1"/>
    <col min="8704" max="8704" width="46.42578125" bestFit="1" customWidth="1"/>
    <col min="8705" max="8705" width="8.7109375" customWidth="1"/>
    <col min="8706" max="8710" width="14.28515625" customWidth="1"/>
    <col min="8960" max="8960" width="46.42578125" bestFit="1" customWidth="1"/>
    <col min="8961" max="8961" width="8.7109375" customWidth="1"/>
    <col min="8962" max="8966" width="14.28515625" customWidth="1"/>
    <col min="9216" max="9216" width="46.42578125" bestFit="1" customWidth="1"/>
    <col min="9217" max="9217" width="8.7109375" customWidth="1"/>
    <col min="9218" max="9222" width="14.28515625" customWidth="1"/>
    <col min="9472" max="9472" width="46.42578125" bestFit="1" customWidth="1"/>
    <col min="9473" max="9473" width="8.7109375" customWidth="1"/>
    <col min="9474" max="9478" width="14.28515625" customWidth="1"/>
    <col min="9728" max="9728" width="46.42578125" bestFit="1" customWidth="1"/>
    <col min="9729" max="9729" width="8.7109375" customWidth="1"/>
    <col min="9730" max="9734" width="14.28515625" customWidth="1"/>
    <col min="9984" max="9984" width="46.42578125" bestFit="1" customWidth="1"/>
    <col min="9985" max="9985" width="8.7109375" customWidth="1"/>
    <col min="9986" max="9990" width="14.28515625" customWidth="1"/>
    <col min="10240" max="10240" width="46.42578125" bestFit="1" customWidth="1"/>
    <col min="10241" max="10241" width="8.7109375" customWidth="1"/>
    <col min="10242" max="10246" width="14.28515625" customWidth="1"/>
    <col min="10496" max="10496" width="46.42578125" bestFit="1" customWidth="1"/>
    <col min="10497" max="10497" width="8.7109375" customWidth="1"/>
    <col min="10498" max="10502" width="14.28515625" customWidth="1"/>
    <col min="10752" max="10752" width="46.42578125" bestFit="1" customWidth="1"/>
    <col min="10753" max="10753" width="8.7109375" customWidth="1"/>
    <col min="10754" max="10758" width="14.28515625" customWidth="1"/>
    <col min="11008" max="11008" width="46.42578125" bestFit="1" customWidth="1"/>
    <col min="11009" max="11009" width="8.7109375" customWidth="1"/>
    <col min="11010" max="11014" width="14.28515625" customWidth="1"/>
    <col min="11264" max="11264" width="46.42578125" bestFit="1" customWidth="1"/>
    <col min="11265" max="11265" width="8.7109375" customWidth="1"/>
    <col min="11266" max="11270" width="14.28515625" customWidth="1"/>
    <col min="11520" max="11520" width="46.42578125" bestFit="1" customWidth="1"/>
    <col min="11521" max="11521" width="8.7109375" customWidth="1"/>
    <col min="11522" max="11526" width="14.28515625" customWidth="1"/>
    <col min="11776" max="11776" width="46.42578125" bestFit="1" customWidth="1"/>
    <col min="11777" max="11777" width="8.7109375" customWidth="1"/>
    <col min="11778" max="11782" width="14.28515625" customWidth="1"/>
    <col min="12032" max="12032" width="46.42578125" bestFit="1" customWidth="1"/>
    <col min="12033" max="12033" width="8.7109375" customWidth="1"/>
    <col min="12034" max="12038" width="14.28515625" customWidth="1"/>
    <col min="12288" max="12288" width="46.42578125" bestFit="1" customWidth="1"/>
    <col min="12289" max="12289" width="8.7109375" customWidth="1"/>
    <col min="12290" max="12294" width="14.28515625" customWidth="1"/>
    <col min="12544" max="12544" width="46.42578125" bestFit="1" customWidth="1"/>
    <col min="12545" max="12545" width="8.7109375" customWidth="1"/>
    <col min="12546" max="12550" width="14.28515625" customWidth="1"/>
    <col min="12800" max="12800" width="46.42578125" bestFit="1" customWidth="1"/>
    <col min="12801" max="12801" width="8.7109375" customWidth="1"/>
    <col min="12802" max="12806" width="14.28515625" customWidth="1"/>
    <col min="13056" max="13056" width="46.42578125" bestFit="1" customWidth="1"/>
    <col min="13057" max="13057" width="8.7109375" customWidth="1"/>
    <col min="13058" max="13062" width="14.28515625" customWidth="1"/>
    <col min="13312" max="13312" width="46.42578125" bestFit="1" customWidth="1"/>
    <col min="13313" max="13313" width="8.7109375" customWidth="1"/>
    <col min="13314" max="13318" width="14.28515625" customWidth="1"/>
    <col min="13568" max="13568" width="46.42578125" bestFit="1" customWidth="1"/>
    <col min="13569" max="13569" width="8.7109375" customWidth="1"/>
    <col min="13570" max="13574" width="14.28515625" customWidth="1"/>
    <col min="13824" max="13824" width="46.42578125" bestFit="1" customWidth="1"/>
    <col min="13825" max="13825" width="8.7109375" customWidth="1"/>
    <col min="13826" max="13830" width="14.28515625" customWidth="1"/>
    <col min="14080" max="14080" width="46.42578125" bestFit="1" customWidth="1"/>
    <col min="14081" max="14081" width="8.7109375" customWidth="1"/>
    <col min="14082" max="14086" width="14.28515625" customWidth="1"/>
    <col min="14336" max="14336" width="46.42578125" bestFit="1" customWidth="1"/>
    <col min="14337" max="14337" width="8.7109375" customWidth="1"/>
    <col min="14338" max="14342" width="14.28515625" customWidth="1"/>
    <col min="14592" max="14592" width="46.42578125" bestFit="1" customWidth="1"/>
    <col min="14593" max="14593" width="8.7109375" customWidth="1"/>
    <col min="14594" max="14598" width="14.28515625" customWidth="1"/>
    <col min="14848" max="14848" width="46.42578125" bestFit="1" customWidth="1"/>
    <col min="14849" max="14849" width="8.7109375" customWidth="1"/>
    <col min="14850" max="14854" width="14.28515625" customWidth="1"/>
    <col min="15104" max="15104" width="46.42578125" bestFit="1" customWidth="1"/>
    <col min="15105" max="15105" width="8.7109375" customWidth="1"/>
    <col min="15106" max="15110" width="14.28515625" customWidth="1"/>
    <col min="15360" max="15360" width="46.42578125" bestFit="1" customWidth="1"/>
    <col min="15361" max="15361" width="8.7109375" customWidth="1"/>
    <col min="15362" max="15366" width="14.28515625" customWidth="1"/>
    <col min="15616" max="15616" width="46.42578125" bestFit="1" customWidth="1"/>
    <col min="15617" max="15617" width="8.7109375" customWidth="1"/>
    <col min="15618" max="15622" width="14.28515625" customWidth="1"/>
    <col min="15872" max="15872" width="46.42578125" bestFit="1" customWidth="1"/>
    <col min="15873" max="15873" width="8.7109375" customWidth="1"/>
    <col min="15874" max="15878" width="14.28515625" customWidth="1"/>
    <col min="16128" max="16128" width="46.42578125" bestFit="1" customWidth="1"/>
    <col min="16129" max="16129" width="8.7109375" customWidth="1"/>
    <col min="16130" max="16134" width="14.28515625" customWidth="1"/>
  </cols>
  <sheetData>
    <row r="3" spans="1:8" ht="15">
      <c r="A3" s="35" t="s">
        <v>1825</v>
      </c>
      <c r="B3" s="34"/>
      <c r="C3" s="34"/>
      <c r="D3" s="34"/>
      <c r="E3" s="34"/>
      <c r="F3" s="34"/>
    </row>
    <row r="4" spans="1:8" ht="15">
      <c r="A4" s="341" t="s">
        <v>919</v>
      </c>
      <c r="B4" s="341"/>
      <c r="C4" s="341"/>
      <c r="D4" s="341"/>
      <c r="E4" s="341"/>
      <c r="F4" s="341"/>
    </row>
    <row r="5" spans="1:8" ht="15" hidden="1">
      <c r="A5" s="36" t="s">
        <v>54</v>
      </c>
      <c r="B5" s="34"/>
      <c r="C5" s="34"/>
      <c r="D5" s="34"/>
      <c r="E5" s="34"/>
      <c r="F5" s="34"/>
    </row>
    <row r="6" spans="1:8" hidden="1">
      <c r="A6" s="37" t="s">
        <v>54</v>
      </c>
      <c r="B6" s="34"/>
      <c r="C6" s="34"/>
      <c r="D6" s="34"/>
      <c r="E6" s="34"/>
      <c r="F6" s="34"/>
    </row>
    <row r="7" spans="1:8" hidden="1">
      <c r="A7" s="342">
        <v>42460</v>
      </c>
      <c r="B7" s="342"/>
      <c r="C7" s="342"/>
      <c r="D7" s="342"/>
      <c r="E7" s="342"/>
      <c r="F7" s="342"/>
    </row>
    <row r="8" spans="1:8">
      <c r="A8" s="38"/>
      <c r="B8" s="38"/>
      <c r="C8" s="38"/>
      <c r="D8" s="38"/>
      <c r="E8" s="38"/>
      <c r="F8" s="38"/>
    </row>
    <row r="9" spans="1:8" ht="13.5" thickBot="1">
      <c r="C9" s="17" t="s">
        <v>251</v>
      </c>
      <c r="D9" s="17" t="s">
        <v>251</v>
      </c>
      <c r="E9" s="17" t="s">
        <v>251</v>
      </c>
      <c r="F9" s="17" t="s">
        <v>44</v>
      </c>
      <c r="G9" s="248" t="s">
        <v>1701</v>
      </c>
    </row>
    <row r="10" spans="1:8" ht="13.5" thickTop="1">
      <c r="A10" s="39"/>
      <c r="B10" s="40"/>
      <c r="C10" s="41" t="s">
        <v>55</v>
      </c>
      <c r="D10" s="41" t="s">
        <v>55</v>
      </c>
      <c r="E10" s="41" t="s">
        <v>55</v>
      </c>
      <c r="F10" s="41"/>
      <c r="G10" s="61"/>
    </row>
    <row r="11" spans="1:8" ht="13.5" thickBot="1">
      <c r="A11" s="42"/>
      <c r="B11" s="43"/>
      <c r="C11" s="44" t="s">
        <v>58</v>
      </c>
      <c r="D11" s="44" t="s">
        <v>57</v>
      </c>
      <c r="E11" s="44" t="s">
        <v>59</v>
      </c>
      <c r="F11" s="44" t="s">
        <v>57</v>
      </c>
      <c r="G11" s="62" t="s">
        <v>57</v>
      </c>
      <c r="H11" s="55" t="s">
        <v>252</v>
      </c>
    </row>
    <row r="12" spans="1:8" ht="13.5" thickTop="1">
      <c r="A12" s="45" t="s">
        <v>60</v>
      </c>
      <c r="B12" s="46"/>
      <c r="C12" s="47"/>
      <c r="D12" s="47"/>
      <c r="E12" s="47"/>
      <c r="F12" s="47"/>
    </row>
    <row r="13" spans="1:8">
      <c r="A13" s="30" t="s">
        <v>920</v>
      </c>
      <c r="B13" s="30" t="s">
        <v>921</v>
      </c>
      <c r="C13" s="56">
        <v>47324.800000000003</v>
      </c>
      <c r="D13" s="56">
        <v>0</v>
      </c>
      <c r="E13" s="56">
        <v>-47324.800000000003</v>
      </c>
      <c r="F13" s="56">
        <v>62200</v>
      </c>
      <c r="G13" s="59">
        <f>'Fund Distributions'!K44</f>
        <v>9000</v>
      </c>
      <c r="H13" t="s">
        <v>1070</v>
      </c>
    </row>
    <row r="14" spans="1:8">
      <c r="A14" s="30" t="s">
        <v>922</v>
      </c>
      <c r="B14" s="30" t="s">
        <v>923</v>
      </c>
      <c r="C14" s="56">
        <v>505</v>
      </c>
      <c r="D14" s="56">
        <v>10000</v>
      </c>
      <c r="E14" s="56">
        <v>9495</v>
      </c>
      <c r="F14" s="56">
        <v>0</v>
      </c>
      <c r="G14" s="59">
        <v>0</v>
      </c>
    </row>
    <row r="15" spans="1:8">
      <c r="A15" s="30"/>
      <c r="B15" s="30"/>
      <c r="C15" s="56"/>
      <c r="D15" s="56"/>
      <c r="E15" s="56"/>
      <c r="F15" s="56"/>
    </row>
    <row r="16" spans="1:8">
      <c r="A16" s="49" t="s">
        <v>115</v>
      </c>
      <c r="B16" s="50"/>
      <c r="C16" s="57">
        <v>47829.8</v>
      </c>
      <c r="D16" s="57">
        <v>10000</v>
      </c>
      <c r="E16" s="57">
        <v>-37829.800000000003</v>
      </c>
      <c r="F16" s="57">
        <v>62200</v>
      </c>
      <c r="G16" s="75">
        <f>SUM(G13:G14)</f>
        <v>9000</v>
      </c>
    </row>
    <row r="17" spans="1:7">
      <c r="A17" s="46"/>
      <c r="C17" s="56"/>
      <c r="D17" s="56"/>
      <c r="E17" s="56"/>
      <c r="F17" s="56"/>
    </row>
    <row r="18" spans="1:7">
      <c r="A18" s="45" t="s">
        <v>116</v>
      </c>
      <c r="C18" s="56"/>
      <c r="D18" s="56"/>
      <c r="E18" s="56"/>
      <c r="F18" s="56"/>
    </row>
    <row r="19" spans="1:7">
      <c r="A19" s="30" t="s">
        <v>924</v>
      </c>
      <c r="B19" s="30" t="s">
        <v>925</v>
      </c>
      <c r="C19" s="56">
        <v>191</v>
      </c>
      <c r="D19" s="56">
        <v>6000</v>
      </c>
      <c r="E19" s="56">
        <v>5809</v>
      </c>
      <c r="F19" s="56">
        <v>5000</v>
      </c>
      <c r="G19" s="59">
        <f>5000</f>
        <v>5000</v>
      </c>
    </row>
    <row r="20" spans="1:7">
      <c r="A20" s="30" t="s">
        <v>926</v>
      </c>
      <c r="B20" s="30" t="s">
        <v>927</v>
      </c>
      <c r="C20" s="56">
        <v>3173.25</v>
      </c>
      <c r="D20" s="56">
        <v>0</v>
      </c>
      <c r="E20" s="56">
        <v>-3173.25</v>
      </c>
      <c r="F20" s="56">
        <v>0</v>
      </c>
      <c r="G20" s="59">
        <v>0</v>
      </c>
    </row>
    <row r="21" spans="1:7">
      <c r="A21" s="30" t="s">
        <v>928</v>
      </c>
      <c r="B21" s="30" t="s">
        <v>929</v>
      </c>
      <c r="C21" s="56">
        <v>0</v>
      </c>
      <c r="D21" s="56">
        <v>4000</v>
      </c>
      <c r="E21" s="56">
        <v>4000</v>
      </c>
      <c r="F21" s="56">
        <v>4000</v>
      </c>
      <c r="G21" s="59">
        <f>F21</f>
        <v>4000</v>
      </c>
    </row>
    <row r="22" spans="1:7">
      <c r="C22" s="56"/>
      <c r="D22" s="56"/>
      <c r="E22" s="56"/>
      <c r="F22" s="56"/>
    </row>
    <row r="23" spans="1:7">
      <c r="A23" s="49" t="s">
        <v>249</v>
      </c>
      <c r="B23" s="52"/>
      <c r="C23" s="57">
        <f>C19+C20</f>
        <v>3364.25</v>
      </c>
      <c r="D23" s="57">
        <v>10000</v>
      </c>
      <c r="E23" s="57">
        <v>6635.75</v>
      </c>
      <c r="F23" s="57">
        <v>9000</v>
      </c>
      <c r="G23" s="75">
        <f>SUM(G19:G21)</f>
        <v>9000</v>
      </c>
    </row>
    <row r="24" spans="1:7">
      <c r="C24" s="56"/>
      <c r="D24" s="56"/>
      <c r="E24" s="56"/>
      <c r="F24" s="56"/>
    </row>
    <row r="25" spans="1:7" ht="13.5" thickBot="1">
      <c r="A25" s="43" t="s">
        <v>250</v>
      </c>
      <c r="B25" s="53"/>
      <c r="C25" s="54">
        <v>44465.55</v>
      </c>
      <c r="D25" s="54">
        <v>0</v>
      </c>
      <c r="E25" s="54">
        <v>-44465.55</v>
      </c>
      <c r="F25" s="54">
        <v>53200</v>
      </c>
      <c r="G25" s="73">
        <f>G16-G23</f>
        <v>0</v>
      </c>
    </row>
    <row r="26" spans="1:7" ht="13.5" thickTop="1"/>
  </sheetData>
  <mergeCells count="2">
    <mergeCell ref="A4:F4"/>
    <mergeCell ref="A7:F7"/>
  </mergeCells>
  <pageMargins left="0.7" right="0.7" top="0.75" bottom="0.75" header="0.3" footer="0.3"/>
  <pageSetup orientation="landscape" horizontalDpi="4294967293" vertic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0"/>
  <sheetViews>
    <sheetView workbookViewId="0">
      <selection activeCell="A24" sqref="A24"/>
    </sheetView>
  </sheetViews>
  <sheetFormatPr defaultRowHeight="12.75"/>
  <cols>
    <col min="1" max="1" width="46.42578125" bestFit="1" customWidth="1"/>
    <col min="2" max="2" width="8.7109375" customWidth="1"/>
    <col min="3" max="5" width="14.28515625" hidden="1" customWidth="1"/>
    <col min="6" max="6" width="14.28515625" customWidth="1"/>
    <col min="7" max="7" width="9.28515625" style="59"/>
    <col min="8" max="8" width="24.28515625" bestFit="1" customWidth="1"/>
    <col min="256" max="256" width="46.42578125" bestFit="1" customWidth="1"/>
    <col min="257" max="257" width="8.7109375" customWidth="1"/>
    <col min="258" max="262" width="14.28515625" customWidth="1"/>
    <col min="512" max="512" width="46.42578125" bestFit="1" customWidth="1"/>
    <col min="513" max="513" width="8.7109375" customWidth="1"/>
    <col min="514" max="518" width="14.28515625" customWidth="1"/>
    <col min="768" max="768" width="46.42578125" bestFit="1" customWidth="1"/>
    <col min="769" max="769" width="8.7109375" customWidth="1"/>
    <col min="770" max="774" width="14.28515625" customWidth="1"/>
    <col min="1024" max="1024" width="46.42578125" bestFit="1" customWidth="1"/>
    <col min="1025" max="1025" width="8.7109375" customWidth="1"/>
    <col min="1026" max="1030" width="14.28515625" customWidth="1"/>
    <col min="1280" max="1280" width="46.42578125" bestFit="1" customWidth="1"/>
    <col min="1281" max="1281" width="8.7109375" customWidth="1"/>
    <col min="1282" max="1286" width="14.28515625" customWidth="1"/>
    <col min="1536" max="1536" width="46.42578125" bestFit="1" customWidth="1"/>
    <col min="1537" max="1537" width="8.7109375" customWidth="1"/>
    <col min="1538" max="1542" width="14.28515625" customWidth="1"/>
    <col min="1792" max="1792" width="46.42578125" bestFit="1" customWidth="1"/>
    <col min="1793" max="1793" width="8.7109375" customWidth="1"/>
    <col min="1794" max="1798" width="14.28515625" customWidth="1"/>
    <col min="2048" max="2048" width="46.42578125" bestFit="1" customWidth="1"/>
    <col min="2049" max="2049" width="8.7109375" customWidth="1"/>
    <col min="2050" max="2054" width="14.28515625" customWidth="1"/>
    <col min="2304" max="2304" width="46.42578125" bestFit="1" customWidth="1"/>
    <col min="2305" max="2305" width="8.7109375" customWidth="1"/>
    <col min="2306" max="2310" width="14.28515625" customWidth="1"/>
    <col min="2560" max="2560" width="46.42578125" bestFit="1" customWidth="1"/>
    <col min="2561" max="2561" width="8.7109375" customWidth="1"/>
    <col min="2562" max="2566" width="14.28515625" customWidth="1"/>
    <col min="2816" max="2816" width="46.42578125" bestFit="1" customWidth="1"/>
    <col min="2817" max="2817" width="8.7109375" customWidth="1"/>
    <col min="2818" max="2822" width="14.28515625" customWidth="1"/>
    <col min="3072" max="3072" width="46.42578125" bestFit="1" customWidth="1"/>
    <col min="3073" max="3073" width="8.7109375" customWidth="1"/>
    <col min="3074" max="3078" width="14.28515625" customWidth="1"/>
    <col min="3328" max="3328" width="46.42578125" bestFit="1" customWidth="1"/>
    <col min="3329" max="3329" width="8.7109375" customWidth="1"/>
    <col min="3330" max="3334" width="14.28515625" customWidth="1"/>
    <col min="3584" max="3584" width="46.42578125" bestFit="1" customWidth="1"/>
    <col min="3585" max="3585" width="8.7109375" customWidth="1"/>
    <col min="3586" max="3590" width="14.28515625" customWidth="1"/>
    <col min="3840" max="3840" width="46.42578125" bestFit="1" customWidth="1"/>
    <col min="3841" max="3841" width="8.7109375" customWidth="1"/>
    <col min="3842" max="3846" width="14.28515625" customWidth="1"/>
    <col min="4096" max="4096" width="46.42578125" bestFit="1" customWidth="1"/>
    <col min="4097" max="4097" width="8.7109375" customWidth="1"/>
    <col min="4098" max="4102" width="14.28515625" customWidth="1"/>
    <col min="4352" max="4352" width="46.42578125" bestFit="1" customWidth="1"/>
    <col min="4353" max="4353" width="8.7109375" customWidth="1"/>
    <col min="4354" max="4358" width="14.28515625" customWidth="1"/>
    <col min="4608" max="4608" width="46.42578125" bestFit="1" customWidth="1"/>
    <col min="4609" max="4609" width="8.7109375" customWidth="1"/>
    <col min="4610" max="4614" width="14.28515625" customWidth="1"/>
    <col min="4864" max="4864" width="46.42578125" bestFit="1" customWidth="1"/>
    <col min="4865" max="4865" width="8.7109375" customWidth="1"/>
    <col min="4866" max="4870" width="14.28515625" customWidth="1"/>
    <col min="5120" max="5120" width="46.42578125" bestFit="1" customWidth="1"/>
    <col min="5121" max="5121" width="8.7109375" customWidth="1"/>
    <col min="5122" max="5126" width="14.28515625" customWidth="1"/>
    <col min="5376" max="5376" width="46.42578125" bestFit="1" customWidth="1"/>
    <col min="5377" max="5377" width="8.7109375" customWidth="1"/>
    <col min="5378" max="5382" width="14.28515625" customWidth="1"/>
    <col min="5632" max="5632" width="46.42578125" bestFit="1" customWidth="1"/>
    <col min="5633" max="5633" width="8.7109375" customWidth="1"/>
    <col min="5634" max="5638" width="14.28515625" customWidth="1"/>
    <col min="5888" max="5888" width="46.42578125" bestFit="1" customWidth="1"/>
    <col min="5889" max="5889" width="8.7109375" customWidth="1"/>
    <col min="5890" max="5894" width="14.28515625" customWidth="1"/>
    <col min="6144" max="6144" width="46.42578125" bestFit="1" customWidth="1"/>
    <col min="6145" max="6145" width="8.7109375" customWidth="1"/>
    <col min="6146" max="6150" width="14.28515625" customWidth="1"/>
    <col min="6400" max="6400" width="46.42578125" bestFit="1" customWidth="1"/>
    <col min="6401" max="6401" width="8.7109375" customWidth="1"/>
    <col min="6402" max="6406" width="14.28515625" customWidth="1"/>
    <col min="6656" max="6656" width="46.42578125" bestFit="1" customWidth="1"/>
    <col min="6657" max="6657" width="8.7109375" customWidth="1"/>
    <col min="6658" max="6662" width="14.28515625" customWidth="1"/>
    <col min="6912" max="6912" width="46.42578125" bestFit="1" customWidth="1"/>
    <col min="6913" max="6913" width="8.7109375" customWidth="1"/>
    <col min="6914" max="6918" width="14.28515625" customWidth="1"/>
    <col min="7168" max="7168" width="46.42578125" bestFit="1" customWidth="1"/>
    <col min="7169" max="7169" width="8.7109375" customWidth="1"/>
    <col min="7170" max="7174" width="14.28515625" customWidth="1"/>
    <col min="7424" max="7424" width="46.42578125" bestFit="1" customWidth="1"/>
    <col min="7425" max="7425" width="8.7109375" customWidth="1"/>
    <col min="7426" max="7430" width="14.28515625" customWidth="1"/>
    <col min="7680" max="7680" width="46.42578125" bestFit="1" customWidth="1"/>
    <col min="7681" max="7681" width="8.7109375" customWidth="1"/>
    <col min="7682" max="7686" width="14.28515625" customWidth="1"/>
    <col min="7936" max="7936" width="46.42578125" bestFit="1" customWidth="1"/>
    <col min="7937" max="7937" width="8.7109375" customWidth="1"/>
    <col min="7938" max="7942" width="14.28515625" customWidth="1"/>
    <col min="8192" max="8192" width="46.42578125" bestFit="1" customWidth="1"/>
    <col min="8193" max="8193" width="8.7109375" customWidth="1"/>
    <col min="8194" max="8198" width="14.28515625" customWidth="1"/>
    <col min="8448" max="8448" width="46.42578125" bestFit="1" customWidth="1"/>
    <col min="8449" max="8449" width="8.7109375" customWidth="1"/>
    <col min="8450" max="8454" width="14.28515625" customWidth="1"/>
    <col min="8704" max="8704" width="46.42578125" bestFit="1" customWidth="1"/>
    <col min="8705" max="8705" width="8.7109375" customWidth="1"/>
    <col min="8706" max="8710" width="14.28515625" customWidth="1"/>
    <col min="8960" max="8960" width="46.42578125" bestFit="1" customWidth="1"/>
    <col min="8961" max="8961" width="8.7109375" customWidth="1"/>
    <col min="8962" max="8966" width="14.28515625" customWidth="1"/>
    <col min="9216" max="9216" width="46.42578125" bestFit="1" customWidth="1"/>
    <col min="9217" max="9217" width="8.7109375" customWidth="1"/>
    <col min="9218" max="9222" width="14.28515625" customWidth="1"/>
    <col min="9472" max="9472" width="46.42578125" bestFit="1" customWidth="1"/>
    <col min="9473" max="9473" width="8.7109375" customWidth="1"/>
    <col min="9474" max="9478" width="14.28515625" customWidth="1"/>
    <col min="9728" max="9728" width="46.42578125" bestFit="1" customWidth="1"/>
    <col min="9729" max="9729" width="8.7109375" customWidth="1"/>
    <col min="9730" max="9734" width="14.28515625" customWidth="1"/>
    <col min="9984" max="9984" width="46.42578125" bestFit="1" customWidth="1"/>
    <col min="9985" max="9985" width="8.7109375" customWidth="1"/>
    <col min="9986" max="9990" width="14.28515625" customWidth="1"/>
    <col min="10240" max="10240" width="46.42578125" bestFit="1" customWidth="1"/>
    <col min="10241" max="10241" width="8.7109375" customWidth="1"/>
    <col min="10242" max="10246" width="14.28515625" customWidth="1"/>
    <col min="10496" max="10496" width="46.42578125" bestFit="1" customWidth="1"/>
    <col min="10497" max="10497" width="8.7109375" customWidth="1"/>
    <col min="10498" max="10502" width="14.28515625" customWidth="1"/>
    <col min="10752" max="10752" width="46.42578125" bestFit="1" customWidth="1"/>
    <col min="10753" max="10753" width="8.7109375" customWidth="1"/>
    <col min="10754" max="10758" width="14.28515625" customWidth="1"/>
    <col min="11008" max="11008" width="46.42578125" bestFit="1" customWidth="1"/>
    <col min="11009" max="11009" width="8.7109375" customWidth="1"/>
    <col min="11010" max="11014" width="14.28515625" customWidth="1"/>
    <col min="11264" max="11264" width="46.42578125" bestFit="1" customWidth="1"/>
    <col min="11265" max="11265" width="8.7109375" customWidth="1"/>
    <col min="11266" max="11270" width="14.28515625" customWidth="1"/>
    <col min="11520" max="11520" width="46.42578125" bestFit="1" customWidth="1"/>
    <col min="11521" max="11521" width="8.7109375" customWidth="1"/>
    <col min="11522" max="11526" width="14.28515625" customWidth="1"/>
    <col min="11776" max="11776" width="46.42578125" bestFit="1" customWidth="1"/>
    <col min="11777" max="11777" width="8.7109375" customWidth="1"/>
    <col min="11778" max="11782" width="14.28515625" customWidth="1"/>
    <col min="12032" max="12032" width="46.42578125" bestFit="1" customWidth="1"/>
    <col min="12033" max="12033" width="8.7109375" customWidth="1"/>
    <col min="12034" max="12038" width="14.28515625" customWidth="1"/>
    <col min="12288" max="12288" width="46.42578125" bestFit="1" customWidth="1"/>
    <col min="12289" max="12289" width="8.7109375" customWidth="1"/>
    <col min="12290" max="12294" width="14.28515625" customWidth="1"/>
    <col min="12544" max="12544" width="46.42578125" bestFit="1" customWidth="1"/>
    <col min="12545" max="12545" width="8.7109375" customWidth="1"/>
    <col min="12546" max="12550" width="14.28515625" customWidth="1"/>
    <col min="12800" max="12800" width="46.42578125" bestFit="1" customWidth="1"/>
    <col min="12801" max="12801" width="8.7109375" customWidth="1"/>
    <col min="12802" max="12806" width="14.28515625" customWidth="1"/>
    <col min="13056" max="13056" width="46.42578125" bestFit="1" customWidth="1"/>
    <col min="13057" max="13057" width="8.7109375" customWidth="1"/>
    <col min="13058" max="13062" width="14.28515625" customWidth="1"/>
    <col min="13312" max="13312" width="46.42578125" bestFit="1" customWidth="1"/>
    <col min="13313" max="13313" width="8.7109375" customWidth="1"/>
    <col min="13314" max="13318" width="14.28515625" customWidth="1"/>
    <col min="13568" max="13568" width="46.42578125" bestFit="1" customWidth="1"/>
    <col min="13569" max="13569" width="8.7109375" customWidth="1"/>
    <col min="13570" max="13574" width="14.28515625" customWidth="1"/>
    <col min="13824" max="13824" width="46.42578125" bestFit="1" customWidth="1"/>
    <col min="13825" max="13825" width="8.7109375" customWidth="1"/>
    <col min="13826" max="13830" width="14.28515625" customWidth="1"/>
    <col min="14080" max="14080" width="46.42578125" bestFit="1" customWidth="1"/>
    <col min="14081" max="14081" width="8.7109375" customWidth="1"/>
    <col min="14082" max="14086" width="14.28515625" customWidth="1"/>
    <col min="14336" max="14336" width="46.42578125" bestFit="1" customWidth="1"/>
    <col min="14337" max="14337" width="8.7109375" customWidth="1"/>
    <col min="14338" max="14342" width="14.28515625" customWidth="1"/>
    <col min="14592" max="14592" width="46.42578125" bestFit="1" customWidth="1"/>
    <col min="14593" max="14593" width="8.7109375" customWidth="1"/>
    <col min="14594" max="14598" width="14.28515625" customWidth="1"/>
    <col min="14848" max="14848" width="46.42578125" bestFit="1" customWidth="1"/>
    <col min="14849" max="14849" width="8.7109375" customWidth="1"/>
    <col min="14850" max="14854" width="14.28515625" customWidth="1"/>
    <col min="15104" max="15104" width="46.42578125" bestFit="1" customWidth="1"/>
    <col min="15105" max="15105" width="8.7109375" customWidth="1"/>
    <col min="15106" max="15110" width="14.28515625" customWidth="1"/>
    <col min="15360" max="15360" width="46.42578125" bestFit="1" customWidth="1"/>
    <col min="15361" max="15361" width="8.7109375" customWidth="1"/>
    <col min="15362" max="15366" width="14.28515625" customWidth="1"/>
    <col min="15616" max="15616" width="46.42578125" bestFit="1" customWidth="1"/>
    <col min="15617" max="15617" width="8.7109375" customWidth="1"/>
    <col min="15618" max="15622" width="14.28515625" customWidth="1"/>
    <col min="15872" max="15872" width="46.42578125" bestFit="1" customWidth="1"/>
    <col min="15873" max="15873" width="8.7109375" customWidth="1"/>
    <col min="15874" max="15878" width="14.28515625" customWidth="1"/>
    <col min="16128" max="16128" width="46.42578125" bestFit="1" customWidth="1"/>
    <col min="16129" max="16129" width="8.7109375" customWidth="1"/>
    <col min="16130" max="16134" width="14.28515625" customWidth="1"/>
  </cols>
  <sheetData>
    <row r="3" spans="1:8" ht="15">
      <c r="A3" s="35" t="s">
        <v>1825</v>
      </c>
      <c r="B3" s="34"/>
      <c r="C3" s="34"/>
      <c r="D3" s="34"/>
      <c r="E3" s="34"/>
      <c r="F3" s="34"/>
    </row>
    <row r="4" spans="1:8" ht="15">
      <c r="A4" s="341" t="s">
        <v>1705</v>
      </c>
      <c r="B4" s="341"/>
      <c r="C4" s="341"/>
      <c r="D4" s="341"/>
      <c r="E4" s="341"/>
      <c r="F4" s="341"/>
    </row>
    <row r="5" spans="1:8" ht="15" hidden="1">
      <c r="A5" s="36" t="s">
        <v>54</v>
      </c>
      <c r="B5" s="34"/>
      <c r="C5" s="34"/>
      <c r="D5" s="34"/>
      <c r="E5" s="34"/>
      <c r="F5" s="34"/>
    </row>
    <row r="6" spans="1:8" hidden="1">
      <c r="A6" s="37" t="s">
        <v>54</v>
      </c>
      <c r="B6" s="34"/>
      <c r="C6" s="34"/>
      <c r="D6" s="34"/>
      <c r="E6" s="34"/>
      <c r="F6" s="34"/>
    </row>
    <row r="7" spans="1:8" hidden="1">
      <c r="A7" s="342">
        <v>42460</v>
      </c>
      <c r="B7" s="342"/>
      <c r="C7" s="342"/>
      <c r="D7" s="342"/>
      <c r="E7" s="342"/>
      <c r="F7" s="342"/>
    </row>
    <row r="8" spans="1:8">
      <c r="A8" s="247"/>
      <c r="B8" s="247"/>
      <c r="C8" s="247"/>
      <c r="D8" s="247"/>
      <c r="E8" s="247"/>
      <c r="F8" s="247"/>
    </row>
    <row r="9" spans="1:8" ht="13.5" thickBot="1">
      <c r="C9" s="17" t="s">
        <v>251</v>
      </c>
      <c r="D9" s="17" t="s">
        <v>251</v>
      </c>
      <c r="E9" s="17" t="s">
        <v>251</v>
      </c>
      <c r="F9" s="17" t="s">
        <v>44</v>
      </c>
      <c r="G9" s="248" t="s">
        <v>1701</v>
      </c>
    </row>
    <row r="10" spans="1:8" ht="13.5" thickTop="1">
      <c r="A10" s="39"/>
      <c r="B10" s="40"/>
      <c r="C10" s="41" t="s">
        <v>55</v>
      </c>
      <c r="D10" s="41" t="s">
        <v>55</v>
      </c>
      <c r="E10" s="41" t="s">
        <v>55</v>
      </c>
      <c r="F10" s="41"/>
      <c r="G10" s="61"/>
    </row>
    <row r="11" spans="1:8" ht="13.5" thickBot="1">
      <c r="A11" s="42"/>
      <c r="B11" s="43"/>
      <c r="C11" s="44" t="s">
        <v>58</v>
      </c>
      <c r="D11" s="44" t="s">
        <v>57</v>
      </c>
      <c r="E11" s="44" t="s">
        <v>59</v>
      </c>
      <c r="F11" s="44" t="s">
        <v>57</v>
      </c>
      <c r="G11" s="62" t="s">
        <v>57</v>
      </c>
      <c r="H11" s="55" t="s">
        <v>252</v>
      </c>
    </row>
    <row r="12" spans="1:8" ht="13.5" thickTop="1">
      <c r="A12" s="45" t="s">
        <v>60</v>
      </c>
      <c r="B12" s="46"/>
      <c r="C12" s="47"/>
      <c r="D12" s="47"/>
      <c r="E12" s="47"/>
      <c r="F12" s="47"/>
    </row>
    <row r="13" spans="1:8">
      <c r="A13" s="30" t="s">
        <v>688</v>
      </c>
      <c r="B13" s="30"/>
      <c r="C13" s="56">
        <v>0</v>
      </c>
      <c r="D13" s="56">
        <v>118975</v>
      </c>
      <c r="E13" s="56">
        <v>118975</v>
      </c>
      <c r="F13" s="56"/>
      <c r="G13" s="59">
        <v>0</v>
      </c>
    </row>
    <row r="14" spans="1:8">
      <c r="A14" s="30" t="s">
        <v>690</v>
      </c>
      <c r="B14" s="30"/>
      <c r="C14" s="56">
        <v>0</v>
      </c>
      <c r="D14" s="56">
        <v>36000</v>
      </c>
      <c r="E14" s="56">
        <v>36000</v>
      </c>
      <c r="F14" s="56"/>
      <c r="G14" s="59">
        <v>0</v>
      </c>
    </row>
    <row r="15" spans="1:8">
      <c r="A15" s="30" t="s">
        <v>692</v>
      </c>
      <c r="B15" s="30"/>
      <c r="C15" s="56">
        <v>1369.5</v>
      </c>
      <c r="D15" s="56">
        <v>18000</v>
      </c>
      <c r="E15" s="56">
        <v>16630.5</v>
      </c>
      <c r="F15" s="56"/>
      <c r="G15" s="59">
        <f>F15</f>
        <v>0</v>
      </c>
    </row>
    <row r="16" spans="1:8">
      <c r="A16" s="30" t="s">
        <v>1842</v>
      </c>
      <c r="B16" s="30"/>
      <c r="C16" s="56">
        <v>0</v>
      </c>
      <c r="D16" s="56">
        <v>15000</v>
      </c>
      <c r="E16" s="56">
        <v>15000</v>
      </c>
      <c r="F16" s="56"/>
      <c r="G16" s="59">
        <v>0</v>
      </c>
    </row>
    <row r="17" spans="1:7">
      <c r="A17" s="30"/>
      <c r="B17" s="30"/>
      <c r="C17" s="56"/>
      <c r="D17" s="56"/>
      <c r="E17" s="56"/>
      <c r="F17" s="56"/>
    </row>
    <row r="18" spans="1:7">
      <c r="A18" s="49" t="s">
        <v>115</v>
      </c>
      <c r="B18" s="50"/>
      <c r="C18" s="57">
        <v>1369.5</v>
      </c>
      <c r="D18" s="57">
        <v>187975</v>
      </c>
      <c r="E18" s="57">
        <v>186605.5</v>
      </c>
      <c r="F18" s="57"/>
      <c r="G18" s="75">
        <f>SUM(G13:G16)</f>
        <v>0</v>
      </c>
    </row>
    <row r="19" spans="1:7">
      <c r="A19" s="46"/>
      <c r="C19" s="56"/>
      <c r="D19" s="56"/>
      <c r="E19" s="56"/>
      <c r="F19" s="56"/>
    </row>
    <row r="20" spans="1:7">
      <c r="A20" s="45" t="s">
        <v>116</v>
      </c>
      <c r="C20" s="56"/>
      <c r="D20" s="56"/>
      <c r="E20" s="56"/>
      <c r="F20" s="56"/>
    </row>
    <row r="21" spans="1:7">
      <c r="A21" s="30" t="s">
        <v>345</v>
      </c>
      <c r="B21" s="30" t="s">
        <v>1708</v>
      </c>
      <c r="C21" s="56">
        <v>-338.51</v>
      </c>
      <c r="D21" s="56">
        <v>8700</v>
      </c>
      <c r="E21" s="56">
        <v>9038.51</v>
      </c>
      <c r="F21" s="56"/>
      <c r="G21" s="59">
        <f>F21</f>
        <v>0</v>
      </c>
    </row>
    <row r="22" spans="1:7">
      <c r="A22" s="30" t="s">
        <v>1706</v>
      </c>
      <c r="B22" s="30" t="s">
        <v>1709</v>
      </c>
      <c r="C22" s="56">
        <v>0</v>
      </c>
      <c r="D22" s="56">
        <v>7000</v>
      </c>
      <c r="E22" s="56">
        <v>7000</v>
      </c>
      <c r="F22" s="56"/>
      <c r="G22" s="59">
        <v>0</v>
      </c>
    </row>
    <row r="23" spans="1:7">
      <c r="A23" s="30" t="s">
        <v>1879</v>
      </c>
      <c r="B23" s="30" t="s">
        <v>1710</v>
      </c>
      <c r="C23" s="56">
        <f>D23-40185.62</f>
        <v>13114.379999999997</v>
      </c>
      <c r="D23" s="56">
        <v>53300</v>
      </c>
      <c r="E23" s="56">
        <v>40185.620000000003</v>
      </c>
      <c r="F23" s="56"/>
      <c r="G23" s="59">
        <v>0</v>
      </c>
    </row>
    <row r="24" spans="1:7">
      <c r="A24" s="30" t="s">
        <v>1707</v>
      </c>
      <c r="B24" s="30" t="s">
        <v>1711</v>
      </c>
      <c r="C24" s="56">
        <v>120380.26</v>
      </c>
      <c r="D24" s="56">
        <v>118975</v>
      </c>
      <c r="E24" s="56">
        <v>-1405.2599999999948</v>
      </c>
      <c r="F24" s="56"/>
      <c r="G24" s="59">
        <v>0</v>
      </c>
    </row>
    <row r="25" spans="1:7">
      <c r="A25" s="30" t="s">
        <v>1860</v>
      </c>
      <c r="B25" s="30" t="s">
        <v>1712</v>
      </c>
      <c r="C25" s="56">
        <v>75</v>
      </c>
      <c r="D25" s="56">
        <v>0</v>
      </c>
      <c r="E25" s="56">
        <v>-75</v>
      </c>
      <c r="F25" s="56"/>
      <c r="G25" s="59">
        <v>0</v>
      </c>
    </row>
    <row r="26" spans="1:7">
      <c r="C26" s="56"/>
      <c r="D26" s="56"/>
      <c r="E26" s="56"/>
      <c r="F26" s="56"/>
    </row>
    <row r="27" spans="1:7">
      <c r="A27" s="49" t="s">
        <v>249</v>
      </c>
      <c r="B27" s="52"/>
      <c r="C27" s="57">
        <v>133231.13</v>
      </c>
      <c r="D27" s="57">
        <v>187975</v>
      </c>
      <c r="E27" s="57">
        <v>54743.87000000001</v>
      </c>
      <c r="F27" s="57"/>
      <c r="G27" s="75">
        <f>SUM(G21:G25)</f>
        <v>0</v>
      </c>
    </row>
    <row r="28" spans="1:7">
      <c r="C28" s="56"/>
      <c r="D28" s="56"/>
      <c r="E28" s="56"/>
      <c r="F28" s="56"/>
    </row>
    <row r="29" spans="1:7" ht="13.5" thickBot="1">
      <c r="A29" s="43" t="s">
        <v>250</v>
      </c>
      <c r="B29" s="53"/>
      <c r="C29" s="54">
        <v>-131861.63</v>
      </c>
      <c r="D29" s="54">
        <v>0</v>
      </c>
      <c r="E29" s="54">
        <v>131861.63</v>
      </c>
      <c r="F29" s="54"/>
      <c r="G29" s="73">
        <f>G18-G27</f>
        <v>0</v>
      </c>
    </row>
    <row r="30" spans="1:7" ht="13.5" thickTop="1"/>
  </sheetData>
  <mergeCells count="2">
    <mergeCell ref="A4:F4"/>
    <mergeCell ref="A7:F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3"/>
  <sheetViews>
    <sheetView zoomScale="150" zoomScaleNormal="150" workbookViewId="0">
      <selection activeCell="A17" sqref="A17"/>
    </sheetView>
  </sheetViews>
  <sheetFormatPr defaultRowHeight="12.75"/>
  <cols>
    <col min="1" max="1" width="46.42578125" bestFit="1" customWidth="1"/>
    <col min="2" max="2" width="8.7109375" customWidth="1"/>
    <col min="3" max="5" width="14.28515625" hidden="1" customWidth="1"/>
    <col min="6" max="6" width="14.28515625" customWidth="1"/>
    <col min="7" max="7" width="8.7109375" style="59"/>
    <col min="8" max="8" width="18.28515625" customWidth="1"/>
    <col min="256" max="256" width="46.42578125" bestFit="1" customWidth="1"/>
    <col min="257" max="257" width="8.7109375" customWidth="1"/>
    <col min="258" max="262" width="14.28515625" customWidth="1"/>
    <col min="512" max="512" width="46.42578125" bestFit="1" customWidth="1"/>
    <col min="513" max="513" width="8.7109375" customWidth="1"/>
    <col min="514" max="518" width="14.28515625" customWidth="1"/>
    <col min="768" max="768" width="46.42578125" bestFit="1" customWidth="1"/>
    <col min="769" max="769" width="8.7109375" customWidth="1"/>
    <col min="770" max="774" width="14.28515625" customWidth="1"/>
    <col min="1024" max="1024" width="46.42578125" bestFit="1" customWidth="1"/>
    <col min="1025" max="1025" width="8.7109375" customWidth="1"/>
    <col min="1026" max="1030" width="14.28515625" customWidth="1"/>
    <col min="1280" max="1280" width="46.42578125" bestFit="1" customWidth="1"/>
    <col min="1281" max="1281" width="8.7109375" customWidth="1"/>
    <col min="1282" max="1286" width="14.28515625" customWidth="1"/>
    <col min="1536" max="1536" width="46.42578125" bestFit="1" customWidth="1"/>
    <col min="1537" max="1537" width="8.7109375" customWidth="1"/>
    <col min="1538" max="1542" width="14.28515625" customWidth="1"/>
    <col min="1792" max="1792" width="46.42578125" bestFit="1" customWidth="1"/>
    <col min="1793" max="1793" width="8.7109375" customWidth="1"/>
    <col min="1794" max="1798" width="14.28515625" customWidth="1"/>
    <col min="2048" max="2048" width="46.42578125" bestFit="1" customWidth="1"/>
    <col min="2049" max="2049" width="8.7109375" customWidth="1"/>
    <col min="2050" max="2054" width="14.28515625" customWidth="1"/>
    <col min="2304" max="2304" width="46.42578125" bestFit="1" customWidth="1"/>
    <col min="2305" max="2305" width="8.7109375" customWidth="1"/>
    <col min="2306" max="2310" width="14.28515625" customWidth="1"/>
    <col min="2560" max="2560" width="46.42578125" bestFit="1" customWidth="1"/>
    <col min="2561" max="2561" width="8.7109375" customWidth="1"/>
    <col min="2562" max="2566" width="14.28515625" customWidth="1"/>
    <col min="2816" max="2816" width="46.42578125" bestFit="1" customWidth="1"/>
    <col min="2817" max="2817" width="8.7109375" customWidth="1"/>
    <col min="2818" max="2822" width="14.28515625" customWidth="1"/>
    <col min="3072" max="3072" width="46.42578125" bestFit="1" customWidth="1"/>
    <col min="3073" max="3073" width="8.7109375" customWidth="1"/>
    <col min="3074" max="3078" width="14.28515625" customWidth="1"/>
    <col min="3328" max="3328" width="46.42578125" bestFit="1" customWidth="1"/>
    <col min="3329" max="3329" width="8.7109375" customWidth="1"/>
    <col min="3330" max="3334" width="14.28515625" customWidth="1"/>
    <col min="3584" max="3584" width="46.42578125" bestFit="1" customWidth="1"/>
    <col min="3585" max="3585" width="8.7109375" customWidth="1"/>
    <col min="3586" max="3590" width="14.28515625" customWidth="1"/>
    <col min="3840" max="3840" width="46.42578125" bestFit="1" customWidth="1"/>
    <col min="3841" max="3841" width="8.7109375" customWidth="1"/>
    <col min="3842" max="3846" width="14.28515625" customWidth="1"/>
    <col min="4096" max="4096" width="46.42578125" bestFit="1" customWidth="1"/>
    <col min="4097" max="4097" width="8.7109375" customWidth="1"/>
    <col min="4098" max="4102" width="14.28515625" customWidth="1"/>
    <col min="4352" max="4352" width="46.42578125" bestFit="1" customWidth="1"/>
    <col min="4353" max="4353" width="8.7109375" customWidth="1"/>
    <col min="4354" max="4358" width="14.28515625" customWidth="1"/>
    <col min="4608" max="4608" width="46.42578125" bestFit="1" customWidth="1"/>
    <col min="4609" max="4609" width="8.7109375" customWidth="1"/>
    <col min="4610" max="4614" width="14.28515625" customWidth="1"/>
    <col min="4864" max="4864" width="46.42578125" bestFit="1" customWidth="1"/>
    <col min="4865" max="4865" width="8.7109375" customWidth="1"/>
    <col min="4866" max="4870" width="14.28515625" customWidth="1"/>
    <col min="5120" max="5120" width="46.42578125" bestFit="1" customWidth="1"/>
    <col min="5121" max="5121" width="8.7109375" customWidth="1"/>
    <col min="5122" max="5126" width="14.28515625" customWidth="1"/>
    <col min="5376" max="5376" width="46.42578125" bestFit="1" customWidth="1"/>
    <col min="5377" max="5377" width="8.7109375" customWidth="1"/>
    <col min="5378" max="5382" width="14.28515625" customWidth="1"/>
    <col min="5632" max="5632" width="46.42578125" bestFit="1" customWidth="1"/>
    <col min="5633" max="5633" width="8.7109375" customWidth="1"/>
    <col min="5634" max="5638" width="14.28515625" customWidth="1"/>
    <col min="5888" max="5888" width="46.42578125" bestFit="1" customWidth="1"/>
    <col min="5889" max="5889" width="8.7109375" customWidth="1"/>
    <col min="5890" max="5894" width="14.28515625" customWidth="1"/>
    <col min="6144" max="6144" width="46.42578125" bestFit="1" customWidth="1"/>
    <col min="6145" max="6145" width="8.7109375" customWidth="1"/>
    <col min="6146" max="6150" width="14.28515625" customWidth="1"/>
    <col min="6400" max="6400" width="46.42578125" bestFit="1" customWidth="1"/>
    <col min="6401" max="6401" width="8.7109375" customWidth="1"/>
    <col min="6402" max="6406" width="14.28515625" customWidth="1"/>
    <col min="6656" max="6656" width="46.42578125" bestFit="1" customWidth="1"/>
    <col min="6657" max="6657" width="8.7109375" customWidth="1"/>
    <col min="6658" max="6662" width="14.28515625" customWidth="1"/>
    <col min="6912" max="6912" width="46.42578125" bestFit="1" customWidth="1"/>
    <col min="6913" max="6913" width="8.7109375" customWidth="1"/>
    <col min="6914" max="6918" width="14.28515625" customWidth="1"/>
    <col min="7168" max="7168" width="46.42578125" bestFit="1" customWidth="1"/>
    <col min="7169" max="7169" width="8.7109375" customWidth="1"/>
    <col min="7170" max="7174" width="14.28515625" customWidth="1"/>
    <col min="7424" max="7424" width="46.42578125" bestFit="1" customWidth="1"/>
    <col min="7425" max="7425" width="8.7109375" customWidth="1"/>
    <col min="7426" max="7430" width="14.28515625" customWidth="1"/>
    <col min="7680" max="7680" width="46.42578125" bestFit="1" customWidth="1"/>
    <col min="7681" max="7681" width="8.7109375" customWidth="1"/>
    <col min="7682" max="7686" width="14.28515625" customWidth="1"/>
    <col min="7936" max="7936" width="46.42578125" bestFit="1" customWidth="1"/>
    <col min="7937" max="7937" width="8.7109375" customWidth="1"/>
    <col min="7938" max="7942" width="14.28515625" customWidth="1"/>
    <col min="8192" max="8192" width="46.42578125" bestFit="1" customWidth="1"/>
    <col min="8193" max="8193" width="8.7109375" customWidth="1"/>
    <col min="8194" max="8198" width="14.28515625" customWidth="1"/>
    <col min="8448" max="8448" width="46.42578125" bestFit="1" customWidth="1"/>
    <col min="8449" max="8449" width="8.7109375" customWidth="1"/>
    <col min="8450" max="8454" width="14.28515625" customWidth="1"/>
    <col min="8704" max="8704" width="46.42578125" bestFit="1" customWidth="1"/>
    <col min="8705" max="8705" width="8.7109375" customWidth="1"/>
    <col min="8706" max="8710" width="14.28515625" customWidth="1"/>
    <col min="8960" max="8960" width="46.42578125" bestFit="1" customWidth="1"/>
    <col min="8961" max="8961" width="8.7109375" customWidth="1"/>
    <col min="8962" max="8966" width="14.28515625" customWidth="1"/>
    <col min="9216" max="9216" width="46.42578125" bestFit="1" customWidth="1"/>
    <col min="9217" max="9217" width="8.7109375" customWidth="1"/>
    <col min="9218" max="9222" width="14.28515625" customWidth="1"/>
    <col min="9472" max="9472" width="46.42578125" bestFit="1" customWidth="1"/>
    <col min="9473" max="9473" width="8.7109375" customWidth="1"/>
    <col min="9474" max="9478" width="14.28515625" customWidth="1"/>
    <col min="9728" max="9728" width="46.42578125" bestFit="1" customWidth="1"/>
    <col min="9729" max="9729" width="8.7109375" customWidth="1"/>
    <col min="9730" max="9734" width="14.28515625" customWidth="1"/>
    <col min="9984" max="9984" width="46.42578125" bestFit="1" customWidth="1"/>
    <col min="9985" max="9985" width="8.7109375" customWidth="1"/>
    <col min="9986" max="9990" width="14.28515625" customWidth="1"/>
    <col min="10240" max="10240" width="46.42578125" bestFit="1" customWidth="1"/>
    <col min="10241" max="10241" width="8.7109375" customWidth="1"/>
    <col min="10242" max="10246" width="14.28515625" customWidth="1"/>
    <col min="10496" max="10496" width="46.42578125" bestFit="1" customWidth="1"/>
    <col min="10497" max="10497" width="8.7109375" customWidth="1"/>
    <col min="10498" max="10502" width="14.28515625" customWidth="1"/>
    <col min="10752" max="10752" width="46.42578125" bestFit="1" customWidth="1"/>
    <col min="10753" max="10753" width="8.7109375" customWidth="1"/>
    <col min="10754" max="10758" width="14.28515625" customWidth="1"/>
    <col min="11008" max="11008" width="46.42578125" bestFit="1" customWidth="1"/>
    <col min="11009" max="11009" width="8.7109375" customWidth="1"/>
    <col min="11010" max="11014" width="14.28515625" customWidth="1"/>
    <col min="11264" max="11264" width="46.42578125" bestFit="1" customWidth="1"/>
    <col min="11265" max="11265" width="8.7109375" customWidth="1"/>
    <col min="11266" max="11270" width="14.28515625" customWidth="1"/>
    <col min="11520" max="11520" width="46.42578125" bestFit="1" customWidth="1"/>
    <col min="11521" max="11521" width="8.7109375" customWidth="1"/>
    <col min="11522" max="11526" width="14.28515625" customWidth="1"/>
    <col min="11776" max="11776" width="46.42578125" bestFit="1" customWidth="1"/>
    <col min="11777" max="11777" width="8.7109375" customWidth="1"/>
    <col min="11778" max="11782" width="14.28515625" customWidth="1"/>
    <col min="12032" max="12032" width="46.42578125" bestFit="1" customWidth="1"/>
    <col min="12033" max="12033" width="8.7109375" customWidth="1"/>
    <col min="12034" max="12038" width="14.28515625" customWidth="1"/>
    <col min="12288" max="12288" width="46.42578125" bestFit="1" customWidth="1"/>
    <col min="12289" max="12289" width="8.7109375" customWidth="1"/>
    <col min="12290" max="12294" width="14.28515625" customWidth="1"/>
    <col min="12544" max="12544" width="46.42578125" bestFit="1" customWidth="1"/>
    <col min="12545" max="12545" width="8.7109375" customWidth="1"/>
    <col min="12546" max="12550" width="14.28515625" customWidth="1"/>
    <col min="12800" max="12800" width="46.42578125" bestFit="1" customWidth="1"/>
    <col min="12801" max="12801" width="8.7109375" customWidth="1"/>
    <col min="12802" max="12806" width="14.28515625" customWidth="1"/>
    <col min="13056" max="13056" width="46.42578125" bestFit="1" customWidth="1"/>
    <col min="13057" max="13057" width="8.7109375" customWidth="1"/>
    <col min="13058" max="13062" width="14.28515625" customWidth="1"/>
    <col min="13312" max="13312" width="46.42578125" bestFit="1" customWidth="1"/>
    <col min="13313" max="13313" width="8.7109375" customWidth="1"/>
    <col min="13314" max="13318" width="14.28515625" customWidth="1"/>
    <col min="13568" max="13568" width="46.42578125" bestFit="1" customWidth="1"/>
    <col min="13569" max="13569" width="8.7109375" customWidth="1"/>
    <col min="13570" max="13574" width="14.28515625" customWidth="1"/>
    <col min="13824" max="13824" width="46.42578125" bestFit="1" customWidth="1"/>
    <col min="13825" max="13825" width="8.7109375" customWidth="1"/>
    <col min="13826" max="13830" width="14.28515625" customWidth="1"/>
    <col min="14080" max="14080" width="46.42578125" bestFit="1" customWidth="1"/>
    <col min="14081" max="14081" width="8.7109375" customWidth="1"/>
    <col min="14082" max="14086" width="14.28515625" customWidth="1"/>
    <col min="14336" max="14336" width="46.42578125" bestFit="1" customWidth="1"/>
    <col min="14337" max="14337" width="8.7109375" customWidth="1"/>
    <col min="14338" max="14342" width="14.28515625" customWidth="1"/>
    <col min="14592" max="14592" width="46.42578125" bestFit="1" customWidth="1"/>
    <col min="14593" max="14593" width="8.7109375" customWidth="1"/>
    <col min="14594" max="14598" width="14.28515625" customWidth="1"/>
    <col min="14848" max="14848" width="46.42578125" bestFit="1" customWidth="1"/>
    <col min="14849" max="14849" width="8.7109375" customWidth="1"/>
    <col min="14850" max="14854" width="14.28515625" customWidth="1"/>
    <col min="15104" max="15104" width="46.42578125" bestFit="1" customWidth="1"/>
    <col min="15105" max="15105" width="8.7109375" customWidth="1"/>
    <col min="15106" max="15110" width="14.28515625" customWidth="1"/>
    <col min="15360" max="15360" width="46.42578125" bestFit="1" customWidth="1"/>
    <col min="15361" max="15361" width="8.7109375" customWidth="1"/>
    <col min="15362" max="15366" width="14.28515625" customWidth="1"/>
    <col min="15616" max="15616" width="46.42578125" bestFit="1" customWidth="1"/>
    <col min="15617" max="15617" width="8.7109375" customWidth="1"/>
    <col min="15618" max="15622" width="14.28515625" customWidth="1"/>
    <col min="15872" max="15872" width="46.42578125" bestFit="1" customWidth="1"/>
    <col min="15873" max="15873" width="8.7109375" customWidth="1"/>
    <col min="15874" max="15878" width="14.28515625" customWidth="1"/>
    <col min="16128" max="16128" width="46.42578125" bestFit="1" customWidth="1"/>
    <col min="16129" max="16129" width="8.7109375" customWidth="1"/>
    <col min="16130" max="16134" width="14.28515625" customWidth="1"/>
  </cols>
  <sheetData>
    <row r="3" spans="1:10" ht="15">
      <c r="A3" s="35" t="s">
        <v>1825</v>
      </c>
      <c r="B3" s="34"/>
      <c r="C3" s="34"/>
      <c r="D3" s="34"/>
      <c r="E3" s="34"/>
      <c r="F3" s="34"/>
    </row>
    <row r="4" spans="1:10" ht="15">
      <c r="A4" s="341" t="s">
        <v>930</v>
      </c>
      <c r="B4" s="341"/>
      <c r="C4" s="341"/>
      <c r="D4" s="341"/>
      <c r="E4" s="341"/>
      <c r="F4" s="341"/>
    </row>
    <row r="5" spans="1:10" ht="15" hidden="1">
      <c r="A5" s="36" t="s">
        <v>54</v>
      </c>
      <c r="B5" s="34"/>
      <c r="C5" s="34"/>
      <c r="D5" s="34"/>
      <c r="E5" s="34"/>
      <c r="F5" s="34"/>
    </row>
    <row r="6" spans="1:10" hidden="1">
      <c r="A6" s="37" t="s">
        <v>54</v>
      </c>
      <c r="B6" s="34"/>
      <c r="C6" s="34"/>
      <c r="D6" s="34"/>
      <c r="E6" s="34"/>
      <c r="F6" s="34"/>
    </row>
    <row r="7" spans="1:10" hidden="1">
      <c r="A7" s="342">
        <v>42460</v>
      </c>
      <c r="B7" s="342"/>
      <c r="C7" s="342"/>
      <c r="D7" s="342"/>
      <c r="E7" s="342"/>
      <c r="F7" s="342"/>
    </row>
    <row r="8" spans="1:10">
      <c r="A8" s="38"/>
      <c r="B8" s="38"/>
      <c r="C8" s="38"/>
      <c r="D8" s="38"/>
      <c r="E8" s="38"/>
      <c r="F8" s="38"/>
    </row>
    <row r="9" spans="1:10" ht="13.5" thickBot="1">
      <c r="C9" s="17" t="s">
        <v>251</v>
      </c>
      <c r="D9" s="17" t="s">
        <v>251</v>
      </c>
      <c r="E9" s="17" t="s">
        <v>251</v>
      </c>
      <c r="F9" s="17" t="s">
        <v>44</v>
      </c>
      <c r="G9" s="248" t="s">
        <v>1701</v>
      </c>
    </row>
    <row r="10" spans="1:10" ht="13.5" thickTop="1">
      <c r="A10" s="39"/>
      <c r="B10" s="40"/>
      <c r="C10" s="41" t="s">
        <v>55</v>
      </c>
      <c r="D10" s="41" t="s">
        <v>55</v>
      </c>
      <c r="E10" s="41" t="s">
        <v>55</v>
      </c>
      <c r="F10" s="41"/>
      <c r="G10" s="61"/>
    </row>
    <row r="11" spans="1:10" ht="13.5" thickBot="1">
      <c r="A11" s="42"/>
      <c r="B11" s="43"/>
      <c r="C11" s="44" t="s">
        <v>58</v>
      </c>
      <c r="D11" s="44" t="s">
        <v>57</v>
      </c>
      <c r="E11" s="44" t="s">
        <v>59</v>
      </c>
      <c r="F11" s="44" t="s">
        <v>57</v>
      </c>
      <c r="G11" s="62" t="s">
        <v>57</v>
      </c>
      <c r="H11" s="55" t="s">
        <v>252</v>
      </c>
    </row>
    <row r="12" spans="1:10" ht="13.5" thickTop="1">
      <c r="A12" s="45" t="s">
        <v>60</v>
      </c>
      <c r="B12" s="46"/>
      <c r="C12" s="47"/>
      <c r="D12" s="47"/>
      <c r="E12" s="47"/>
      <c r="F12" s="47"/>
    </row>
    <row r="13" spans="1:10">
      <c r="A13" s="30" t="s">
        <v>931</v>
      </c>
      <c r="B13" s="30" t="s">
        <v>932</v>
      </c>
      <c r="C13" s="56">
        <v>4247.8</v>
      </c>
      <c r="D13" s="56">
        <v>24000</v>
      </c>
      <c r="E13" s="56">
        <v>19752.2</v>
      </c>
      <c r="F13" s="56">
        <v>5663.7333333333336</v>
      </c>
      <c r="G13" s="59">
        <v>10000</v>
      </c>
      <c r="H13" s="71"/>
      <c r="I13" s="71"/>
      <c r="J13" s="71"/>
    </row>
    <row r="14" spans="1:10">
      <c r="A14" s="30" t="s">
        <v>933</v>
      </c>
      <c r="B14" s="30" t="s">
        <v>934</v>
      </c>
      <c r="C14" s="56">
        <v>2654</v>
      </c>
      <c r="D14" s="56">
        <v>5000</v>
      </c>
      <c r="E14" s="56">
        <v>2346</v>
      </c>
      <c r="F14" s="56">
        <v>3538.666666666667</v>
      </c>
      <c r="G14" s="59">
        <v>7000</v>
      </c>
      <c r="H14" s="71"/>
    </row>
    <row r="15" spans="1:10">
      <c r="A15" s="30" t="s">
        <v>935</v>
      </c>
      <c r="B15" s="30" t="s">
        <v>936</v>
      </c>
      <c r="C15" s="56">
        <v>0</v>
      </c>
      <c r="D15" s="56">
        <v>30000</v>
      </c>
      <c r="E15" s="56">
        <v>30000</v>
      </c>
      <c r="F15" s="56">
        <v>0</v>
      </c>
      <c r="G15" s="264">
        <v>15000</v>
      </c>
      <c r="H15" s="243" t="s">
        <v>1687</v>
      </c>
    </row>
    <row r="16" spans="1:10">
      <c r="A16" s="30" t="s">
        <v>1837</v>
      </c>
      <c r="B16" s="30" t="s">
        <v>937</v>
      </c>
      <c r="C16" s="56">
        <v>0</v>
      </c>
      <c r="D16" s="56">
        <v>72000</v>
      </c>
      <c r="E16" s="56">
        <v>72000</v>
      </c>
      <c r="F16" s="56">
        <v>72000</v>
      </c>
      <c r="G16" s="59">
        <f>'Fund Distributions'!K46</f>
        <v>72000</v>
      </c>
      <c r="H16" t="s">
        <v>1070</v>
      </c>
    </row>
    <row r="17" spans="1:8">
      <c r="A17" s="30" t="s">
        <v>938</v>
      </c>
      <c r="B17" s="30" t="s">
        <v>939</v>
      </c>
      <c r="C17" s="56">
        <v>0</v>
      </c>
      <c r="D17" s="56">
        <v>2500</v>
      </c>
      <c r="E17" s="56">
        <v>2500</v>
      </c>
      <c r="F17" s="56">
        <v>0</v>
      </c>
      <c r="G17" s="59">
        <v>0</v>
      </c>
    </row>
    <row r="18" spans="1:8">
      <c r="A18" s="30"/>
      <c r="B18" s="30"/>
      <c r="C18" s="56"/>
      <c r="D18" s="56"/>
      <c r="E18" s="56"/>
      <c r="F18" s="56"/>
    </row>
    <row r="19" spans="1:8">
      <c r="A19" s="49" t="s">
        <v>115</v>
      </c>
      <c r="B19" s="50"/>
      <c r="C19" s="57">
        <v>6901.8</v>
      </c>
      <c r="D19" s="57">
        <v>133500</v>
      </c>
      <c r="E19" s="57">
        <v>126598.2</v>
      </c>
      <c r="F19" s="75">
        <f>SUM(F13:F17)</f>
        <v>81202.399999999994</v>
      </c>
      <c r="G19" s="75">
        <f>SUM(G13:G17)</f>
        <v>104000</v>
      </c>
    </row>
    <row r="20" spans="1:8">
      <c r="A20" s="46"/>
      <c r="C20" s="56"/>
      <c r="D20" s="56"/>
      <c r="E20" s="56"/>
      <c r="F20" s="56"/>
    </row>
    <row r="21" spans="1:8">
      <c r="A21" s="45" t="s">
        <v>116</v>
      </c>
      <c r="C21" s="56"/>
      <c r="D21" s="56"/>
      <c r="E21" s="56"/>
      <c r="F21" s="56"/>
    </row>
    <row r="22" spans="1:8">
      <c r="A22" s="30" t="s">
        <v>940</v>
      </c>
      <c r="B22" s="30" t="s">
        <v>941</v>
      </c>
      <c r="C22" s="56">
        <v>76153.27</v>
      </c>
      <c r="D22" s="56">
        <v>80980</v>
      </c>
      <c r="E22" s="56">
        <v>4826.7299999999959</v>
      </c>
      <c r="F22" s="56">
        <v>59500</v>
      </c>
      <c r="G22" s="59">
        <f>26917.8+26520+7200</f>
        <v>60637.8</v>
      </c>
      <c r="H22" t="s">
        <v>1715</v>
      </c>
    </row>
    <row r="23" spans="1:8">
      <c r="A23" s="30" t="s">
        <v>942</v>
      </c>
      <c r="B23" s="30" t="s">
        <v>943</v>
      </c>
      <c r="C23" s="56">
        <f>6075-4327.34</f>
        <v>1747.6599999999999</v>
      </c>
      <c r="D23" s="56">
        <v>6075</v>
      </c>
      <c r="E23" s="56">
        <v>4327.34</v>
      </c>
      <c r="F23" s="56">
        <v>2330.2133333333331</v>
      </c>
      <c r="G23" s="59">
        <f>C23/9*12</f>
        <v>2330.2133333333331</v>
      </c>
    </row>
    <row r="24" spans="1:8">
      <c r="A24" s="30" t="s">
        <v>944</v>
      </c>
      <c r="B24" s="30" t="s">
        <v>945</v>
      </c>
      <c r="C24" s="56">
        <v>2888.4</v>
      </c>
      <c r="D24" s="56">
        <v>6075</v>
      </c>
      <c r="E24" s="56">
        <v>3186.6</v>
      </c>
      <c r="F24" s="56">
        <v>3851.2</v>
      </c>
      <c r="G24" s="59">
        <f>C24/9*12</f>
        <v>3851.2</v>
      </c>
    </row>
    <row r="25" spans="1:8">
      <c r="A25" s="30" t="s">
        <v>161</v>
      </c>
      <c r="B25" s="30" t="s">
        <v>946</v>
      </c>
      <c r="C25" s="56">
        <v>1251.06</v>
      </c>
      <c r="D25" s="56">
        <v>2000</v>
      </c>
      <c r="E25" s="56">
        <v>748.94</v>
      </c>
      <c r="F25" s="56">
        <v>0</v>
      </c>
      <c r="G25" s="59">
        <v>2000</v>
      </c>
    </row>
    <row r="26" spans="1:8">
      <c r="A26" s="30" t="s">
        <v>947</v>
      </c>
      <c r="B26" s="30" t="s">
        <v>948</v>
      </c>
      <c r="C26" s="56">
        <v>0</v>
      </c>
      <c r="D26" s="56">
        <v>929.75</v>
      </c>
      <c r="E26" s="56">
        <v>929.75</v>
      </c>
      <c r="F26" s="56">
        <v>1000</v>
      </c>
      <c r="G26" s="59">
        <v>1000</v>
      </c>
    </row>
    <row r="27" spans="1:8">
      <c r="A27" s="30" t="s">
        <v>949</v>
      </c>
      <c r="B27" s="30" t="s">
        <v>950</v>
      </c>
      <c r="C27" s="56">
        <v>686.26</v>
      </c>
      <c r="D27" s="56">
        <v>1740</v>
      </c>
      <c r="E27" s="56">
        <v>1053.74</v>
      </c>
      <c r="F27" s="56">
        <v>1000</v>
      </c>
      <c r="G27" s="59">
        <v>1000</v>
      </c>
    </row>
    <row r="28" spans="1:8">
      <c r="A28" s="30" t="s">
        <v>951</v>
      </c>
      <c r="B28" s="30" t="s">
        <v>952</v>
      </c>
      <c r="C28" s="56">
        <v>0</v>
      </c>
      <c r="D28" s="56">
        <v>600</v>
      </c>
      <c r="E28" s="56">
        <v>600</v>
      </c>
      <c r="F28" s="56">
        <v>600</v>
      </c>
      <c r="G28" s="59">
        <f>F28</f>
        <v>600</v>
      </c>
    </row>
    <row r="29" spans="1:8">
      <c r="A29" s="30" t="s">
        <v>953</v>
      </c>
      <c r="B29" s="30" t="s">
        <v>954</v>
      </c>
      <c r="C29" s="56">
        <v>961.88</v>
      </c>
      <c r="D29" s="56">
        <v>2000</v>
      </c>
      <c r="E29" s="56">
        <v>1038.1199999999999</v>
      </c>
      <c r="F29" s="56">
        <v>500</v>
      </c>
      <c r="G29" s="59">
        <v>500</v>
      </c>
    </row>
    <row r="30" spans="1:8">
      <c r="A30" s="30" t="s">
        <v>955</v>
      </c>
      <c r="B30" s="30" t="s">
        <v>956</v>
      </c>
      <c r="C30" s="56">
        <v>10690.38</v>
      </c>
      <c r="D30" s="56">
        <v>0</v>
      </c>
      <c r="E30" s="56">
        <v>-10690.38</v>
      </c>
      <c r="F30" s="56">
        <v>1000</v>
      </c>
      <c r="G30" s="59">
        <v>1000</v>
      </c>
    </row>
    <row r="31" spans="1:8">
      <c r="A31" s="30" t="s">
        <v>957</v>
      </c>
      <c r="B31" s="30" t="s">
        <v>958</v>
      </c>
      <c r="C31" s="56">
        <v>6844.27</v>
      </c>
      <c r="D31" s="56">
        <v>0</v>
      </c>
      <c r="E31" s="56">
        <v>-6844.27</v>
      </c>
      <c r="F31" s="56">
        <v>0</v>
      </c>
      <c r="G31" s="59">
        <v>0</v>
      </c>
    </row>
    <row r="32" spans="1:8">
      <c r="A32" s="30" t="s">
        <v>895</v>
      </c>
      <c r="B32" s="30" t="s">
        <v>959</v>
      </c>
      <c r="C32" s="56">
        <v>2950.96</v>
      </c>
      <c r="D32" s="56">
        <v>0</v>
      </c>
      <c r="E32" s="56">
        <v>-2950.96</v>
      </c>
      <c r="F32" s="56">
        <v>0</v>
      </c>
      <c r="G32" s="59">
        <v>0</v>
      </c>
    </row>
    <row r="33" spans="1:8">
      <c r="A33" s="30" t="s">
        <v>960</v>
      </c>
      <c r="B33" s="30" t="s">
        <v>961</v>
      </c>
      <c r="C33" s="56">
        <v>0</v>
      </c>
      <c r="D33" s="56">
        <v>1250</v>
      </c>
      <c r="E33" s="56">
        <v>1250</v>
      </c>
      <c r="F33" s="56">
        <v>1250</v>
      </c>
      <c r="G33" s="59">
        <f>F33</f>
        <v>1250</v>
      </c>
    </row>
    <row r="34" spans="1:8">
      <c r="A34" s="30" t="s">
        <v>962</v>
      </c>
      <c r="B34" s="30" t="s">
        <v>963</v>
      </c>
      <c r="C34" s="56">
        <v>4788.5</v>
      </c>
      <c r="D34" s="56">
        <v>8000</v>
      </c>
      <c r="E34" s="56">
        <v>3211.5</v>
      </c>
      <c r="F34" s="56">
        <v>10000</v>
      </c>
      <c r="G34" s="59">
        <v>3000</v>
      </c>
      <c r="H34" t="s">
        <v>1693</v>
      </c>
    </row>
    <row r="35" spans="1:8">
      <c r="A35" s="30" t="s">
        <v>964</v>
      </c>
      <c r="B35" s="30" t="s">
        <v>965</v>
      </c>
      <c r="C35" s="56">
        <v>0</v>
      </c>
      <c r="D35" s="56">
        <v>10000</v>
      </c>
      <c r="E35" s="56">
        <v>10000</v>
      </c>
      <c r="F35" s="56">
        <v>10000</v>
      </c>
      <c r="G35" s="59">
        <f>F35</f>
        <v>10000</v>
      </c>
    </row>
    <row r="36" spans="1:8">
      <c r="A36" s="30" t="s">
        <v>966</v>
      </c>
      <c r="B36" s="30" t="s">
        <v>967</v>
      </c>
      <c r="C36" s="56">
        <v>0</v>
      </c>
      <c r="D36" s="56">
        <v>12350.25</v>
      </c>
      <c r="E36" s="56">
        <v>12350.25</v>
      </c>
      <c r="F36" s="56">
        <v>0</v>
      </c>
      <c r="G36" s="59">
        <v>0</v>
      </c>
      <c r="H36" t="s">
        <v>1028</v>
      </c>
    </row>
    <row r="37" spans="1:8">
      <c r="A37" s="30" t="s">
        <v>968</v>
      </c>
      <c r="B37" s="30" t="s">
        <v>969</v>
      </c>
      <c r="C37" s="56">
        <v>0</v>
      </c>
      <c r="D37" s="56">
        <v>1500</v>
      </c>
      <c r="E37" s="56">
        <v>1500</v>
      </c>
      <c r="F37" s="56">
        <v>500</v>
      </c>
      <c r="G37" s="59">
        <v>500</v>
      </c>
    </row>
    <row r="38" spans="1:8">
      <c r="A38" s="30" t="s">
        <v>970</v>
      </c>
      <c r="B38" s="30" t="s">
        <v>971</v>
      </c>
      <c r="C38" s="56">
        <v>10527.22</v>
      </c>
      <c r="D38" s="56">
        <v>0</v>
      </c>
      <c r="E38" s="56">
        <v>-10527.22</v>
      </c>
      <c r="F38" s="56">
        <v>9801.7828000000009</v>
      </c>
      <c r="G38" s="59">
        <f>'LTD Summary'!J13</f>
        <v>7412.2973120000006</v>
      </c>
      <c r="H38" t="s">
        <v>1055</v>
      </c>
    </row>
    <row r="39" spans="1:8">
      <c r="C39" s="56"/>
      <c r="D39" s="56"/>
      <c r="E39" s="56"/>
      <c r="F39" s="56"/>
    </row>
    <row r="40" spans="1:8">
      <c r="A40" s="49" t="s">
        <v>249</v>
      </c>
      <c r="B40" s="52"/>
      <c r="C40" s="57">
        <v>119489.86000000002</v>
      </c>
      <c r="D40" s="57">
        <v>133500</v>
      </c>
      <c r="E40" s="57">
        <v>14010.139999999998</v>
      </c>
      <c r="F40" s="57">
        <v>101333.19613333333</v>
      </c>
      <c r="G40" s="75">
        <f>SUM(G22:G38)</f>
        <v>95081.510645333328</v>
      </c>
    </row>
    <row r="41" spans="1:8">
      <c r="C41" s="56"/>
      <c r="D41" s="56"/>
      <c r="E41" s="56"/>
      <c r="F41" s="56"/>
    </row>
    <row r="42" spans="1:8" ht="13.5" thickBot="1">
      <c r="A42" s="43" t="s">
        <v>250</v>
      </c>
      <c r="B42" s="53"/>
      <c r="C42" s="54">
        <v>-112588.06000000001</v>
      </c>
      <c r="D42" s="54">
        <v>0</v>
      </c>
      <c r="E42" s="54">
        <v>112588.06</v>
      </c>
      <c r="F42" s="54">
        <v>-5130.7961333333369</v>
      </c>
      <c r="G42" s="73">
        <f>G19-G40</f>
        <v>8918.4893546666717</v>
      </c>
    </row>
    <row r="43" spans="1:8" ht="13.5" thickTop="1"/>
  </sheetData>
  <mergeCells count="2">
    <mergeCell ref="A4:F4"/>
    <mergeCell ref="A7:F7"/>
  </mergeCells>
  <pageMargins left="0.7" right="0.7" top="0.75" bottom="0.75" header="0.3" footer="0.3"/>
  <pageSetup orientation="landscape" horizontalDpi="4294967293" vertic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4"/>
  <sheetViews>
    <sheetView zoomScale="150" zoomScaleNormal="150" workbookViewId="0">
      <selection activeCell="H13" sqref="H13"/>
    </sheetView>
  </sheetViews>
  <sheetFormatPr defaultRowHeight="12.75"/>
  <cols>
    <col min="1" max="1" width="46.42578125" bestFit="1" customWidth="1"/>
    <col min="2" max="2" width="8.7109375" customWidth="1"/>
    <col min="3" max="5" width="14.28515625" hidden="1" customWidth="1"/>
    <col min="6" max="6" width="14.28515625" customWidth="1"/>
    <col min="7" max="7" width="9.7109375" style="66" bestFit="1" customWidth="1"/>
    <col min="8" max="8" width="20" customWidth="1"/>
    <col min="256" max="256" width="46.42578125" bestFit="1" customWidth="1"/>
    <col min="257" max="257" width="8.7109375" customWidth="1"/>
    <col min="258" max="262" width="14.28515625" customWidth="1"/>
    <col min="512" max="512" width="46.42578125" bestFit="1" customWidth="1"/>
    <col min="513" max="513" width="8.7109375" customWidth="1"/>
    <col min="514" max="518" width="14.28515625" customWidth="1"/>
    <col min="768" max="768" width="46.42578125" bestFit="1" customWidth="1"/>
    <col min="769" max="769" width="8.7109375" customWidth="1"/>
    <col min="770" max="774" width="14.28515625" customWidth="1"/>
    <col min="1024" max="1024" width="46.42578125" bestFit="1" customWidth="1"/>
    <col min="1025" max="1025" width="8.7109375" customWidth="1"/>
    <col min="1026" max="1030" width="14.28515625" customWidth="1"/>
    <col min="1280" max="1280" width="46.42578125" bestFit="1" customWidth="1"/>
    <col min="1281" max="1281" width="8.7109375" customWidth="1"/>
    <col min="1282" max="1286" width="14.28515625" customWidth="1"/>
    <col min="1536" max="1536" width="46.42578125" bestFit="1" customWidth="1"/>
    <col min="1537" max="1537" width="8.7109375" customWidth="1"/>
    <col min="1538" max="1542" width="14.28515625" customWidth="1"/>
    <col min="1792" max="1792" width="46.42578125" bestFit="1" customWidth="1"/>
    <col min="1793" max="1793" width="8.7109375" customWidth="1"/>
    <col min="1794" max="1798" width="14.28515625" customWidth="1"/>
    <col min="2048" max="2048" width="46.42578125" bestFit="1" customWidth="1"/>
    <col min="2049" max="2049" width="8.7109375" customWidth="1"/>
    <col min="2050" max="2054" width="14.28515625" customWidth="1"/>
    <col min="2304" max="2304" width="46.42578125" bestFit="1" customWidth="1"/>
    <col min="2305" max="2305" width="8.7109375" customWidth="1"/>
    <col min="2306" max="2310" width="14.28515625" customWidth="1"/>
    <col min="2560" max="2560" width="46.42578125" bestFit="1" customWidth="1"/>
    <col min="2561" max="2561" width="8.7109375" customWidth="1"/>
    <col min="2562" max="2566" width="14.28515625" customWidth="1"/>
    <col min="2816" max="2816" width="46.42578125" bestFit="1" customWidth="1"/>
    <col min="2817" max="2817" width="8.7109375" customWidth="1"/>
    <col min="2818" max="2822" width="14.28515625" customWidth="1"/>
    <col min="3072" max="3072" width="46.42578125" bestFit="1" customWidth="1"/>
    <col min="3073" max="3073" width="8.7109375" customWidth="1"/>
    <col min="3074" max="3078" width="14.28515625" customWidth="1"/>
    <col min="3328" max="3328" width="46.42578125" bestFit="1" customWidth="1"/>
    <col min="3329" max="3329" width="8.7109375" customWidth="1"/>
    <col min="3330" max="3334" width="14.28515625" customWidth="1"/>
    <col min="3584" max="3584" width="46.42578125" bestFit="1" customWidth="1"/>
    <col min="3585" max="3585" width="8.7109375" customWidth="1"/>
    <col min="3586" max="3590" width="14.28515625" customWidth="1"/>
    <col min="3840" max="3840" width="46.42578125" bestFit="1" customWidth="1"/>
    <col min="3841" max="3841" width="8.7109375" customWidth="1"/>
    <col min="3842" max="3846" width="14.28515625" customWidth="1"/>
    <col min="4096" max="4096" width="46.42578125" bestFit="1" customWidth="1"/>
    <col min="4097" max="4097" width="8.7109375" customWidth="1"/>
    <col min="4098" max="4102" width="14.28515625" customWidth="1"/>
    <col min="4352" max="4352" width="46.42578125" bestFit="1" customWidth="1"/>
    <col min="4353" max="4353" width="8.7109375" customWidth="1"/>
    <col min="4354" max="4358" width="14.28515625" customWidth="1"/>
    <col min="4608" max="4608" width="46.42578125" bestFit="1" customWidth="1"/>
    <col min="4609" max="4609" width="8.7109375" customWidth="1"/>
    <col min="4610" max="4614" width="14.28515625" customWidth="1"/>
    <col min="4864" max="4864" width="46.42578125" bestFit="1" customWidth="1"/>
    <col min="4865" max="4865" width="8.7109375" customWidth="1"/>
    <col min="4866" max="4870" width="14.28515625" customWidth="1"/>
    <col min="5120" max="5120" width="46.42578125" bestFit="1" customWidth="1"/>
    <col min="5121" max="5121" width="8.7109375" customWidth="1"/>
    <col min="5122" max="5126" width="14.28515625" customWidth="1"/>
    <col min="5376" max="5376" width="46.42578125" bestFit="1" customWidth="1"/>
    <col min="5377" max="5377" width="8.7109375" customWidth="1"/>
    <col min="5378" max="5382" width="14.28515625" customWidth="1"/>
    <col min="5632" max="5632" width="46.42578125" bestFit="1" customWidth="1"/>
    <col min="5633" max="5633" width="8.7109375" customWidth="1"/>
    <col min="5634" max="5638" width="14.28515625" customWidth="1"/>
    <col min="5888" max="5888" width="46.42578125" bestFit="1" customWidth="1"/>
    <col min="5889" max="5889" width="8.7109375" customWidth="1"/>
    <col min="5890" max="5894" width="14.28515625" customWidth="1"/>
    <col min="6144" max="6144" width="46.42578125" bestFit="1" customWidth="1"/>
    <col min="6145" max="6145" width="8.7109375" customWidth="1"/>
    <col min="6146" max="6150" width="14.28515625" customWidth="1"/>
    <col min="6400" max="6400" width="46.42578125" bestFit="1" customWidth="1"/>
    <col min="6401" max="6401" width="8.7109375" customWidth="1"/>
    <col min="6402" max="6406" width="14.28515625" customWidth="1"/>
    <col min="6656" max="6656" width="46.42578125" bestFit="1" customWidth="1"/>
    <col min="6657" max="6657" width="8.7109375" customWidth="1"/>
    <col min="6658" max="6662" width="14.28515625" customWidth="1"/>
    <col min="6912" max="6912" width="46.42578125" bestFit="1" customWidth="1"/>
    <col min="6913" max="6913" width="8.7109375" customWidth="1"/>
    <col min="6914" max="6918" width="14.28515625" customWidth="1"/>
    <col min="7168" max="7168" width="46.42578125" bestFit="1" customWidth="1"/>
    <col min="7169" max="7169" width="8.7109375" customWidth="1"/>
    <col min="7170" max="7174" width="14.28515625" customWidth="1"/>
    <col min="7424" max="7424" width="46.42578125" bestFit="1" customWidth="1"/>
    <col min="7425" max="7425" width="8.7109375" customWidth="1"/>
    <col min="7426" max="7430" width="14.28515625" customWidth="1"/>
    <col min="7680" max="7680" width="46.42578125" bestFit="1" customWidth="1"/>
    <col min="7681" max="7681" width="8.7109375" customWidth="1"/>
    <col min="7682" max="7686" width="14.28515625" customWidth="1"/>
    <col min="7936" max="7936" width="46.42578125" bestFit="1" customWidth="1"/>
    <col min="7937" max="7937" width="8.7109375" customWidth="1"/>
    <col min="7938" max="7942" width="14.28515625" customWidth="1"/>
    <col min="8192" max="8192" width="46.42578125" bestFit="1" customWidth="1"/>
    <col min="8193" max="8193" width="8.7109375" customWidth="1"/>
    <col min="8194" max="8198" width="14.28515625" customWidth="1"/>
    <col min="8448" max="8448" width="46.42578125" bestFit="1" customWidth="1"/>
    <col min="8449" max="8449" width="8.7109375" customWidth="1"/>
    <col min="8450" max="8454" width="14.28515625" customWidth="1"/>
    <col min="8704" max="8704" width="46.42578125" bestFit="1" customWidth="1"/>
    <col min="8705" max="8705" width="8.7109375" customWidth="1"/>
    <col min="8706" max="8710" width="14.28515625" customWidth="1"/>
    <col min="8960" max="8960" width="46.42578125" bestFit="1" customWidth="1"/>
    <col min="8961" max="8961" width="8.7109375" customWidth="1"/>
    <col min="8962" max="8966" width="14.28515625" customWidth="1"/>
    <col min="9216" max="9216" width="46.42578125" bestFit="1" customWidth="1"/>
    <col min="9217" max="9217" width="8.7109375" customWidth="1"/>
    <col min="9218" max="9222" width="14.28515625" customWidth="1"/>
    <col min="9472" max="9472" width="46.42578125" bestFit="1" customWidth="1"/>
    <col min="9473" max="9473" width="8.7109375" customWidth="1"/>
    <col min="9474" max="9478" width="14.28515625" customWidth="1"/>
    <col min="9728" max="9728" width="46.42578125" bestFit="1" customWidth="1"/>
    <col min="9729" max="9729" width="8.7109375" customWidth="1"/>
    <col min="9730" max="9734" width="14.28515625" customWidth="1"/>
    <col min="9984" max="9984" width="46.42578125" bestFit="1" customWidth="1"/>
    <col min="9985" max="9985" width="8.7109375" customWidth="1"/>
    <col min="9986" max="9990" width="14.28515625" customWidth="1"/>
    <col min="10240" max="10240" width="46.42578125" bestFit="1" customWidth="1"/>
    <col min="10241" max="10241" width="8.7109375" customWidth="1"/>
    <col min="10242" max="10246" width="14.28515625" customWidth="1"/>
    <col min="10496" max="10496" width="46.42578125" bestFit="1" customWidth="1"/>
    <col min="10497" max="10497" width="8.7109375" customWidth="1"/>
    <col min="10498" max="10502" width="14.28515625" customWidth="1"/>
    <col min="10752" max="10752" width="46.42578125" bestFit="1" customWidth="1"/>
    <col min="10753" max="10753" width="8.7109375" customWidth="1"/>
    <col min="10754" max="10758" width="14.28515625" customWidth="1"/>
    <col min="11008" max="11008" width="46.42578125" bestFit="1" customWidth="1"/>
    <col min="11009" max="11009" width="8.7109375" customWidth="1"/>
    <col min="11010" max="11014" width="14.28515625" customWidth="1"/>
    <col min="11264" max="11264" width="46.42578125" bestFit="1" customWidth="1"/>
    <col min="11265" max="11265" width="8.7109375" customWidth="1"/>
    <col min="11266" max="11270" width="14.28515625" customWidth="1"/>
    <col min="11520" max="11520" width="46.42578125" bestFit="1" customWidth="1"/>
    <col min="11521" max="11521" width="8.7109375" customWidth="1"/>
    <col min="11522" max="11526" width="14.28515625" customWidth="1"/>
    <col min="11776" max="11776" width="46.42578125" bestFit="1" customWidth="1"/>
    <col min="11777" max="11777" width="8.7109375" customWidth="1"/>
    <col min="11778" max="11782" width="14.28515625" customWidth="1"/>
    <col min="12032" max="12032" width="46.42578125" bestFit="1" customWidth="1"/>
    <col min="12033" max="12033" width="8.7109375" customWidth="1"/>
    <col min="12034" max="12038" width="14.28515625" customWidth="1"/>
    <col min="12288" max="12288" width="46.42578125" bestFit="1" customWidth="1"/>
    <col min="12289" max="12289" width="8.7109375" customWidth="1"/>
    <col min="12290" max="12294" width="14.28515625" customWidth="1"/>
    <col min="12544" max="12544" width="46.42578125" bestFit="1" customWidth="1"/>
    <col min="12545" max="12545" width="8.7109375" customWidth="1"/>
    <col min="12546" max="12550" width="14.28515625" customWidth="1"/>
    <col min="12800" max="12800" width="46.42578125" bestFit="1" customWidth="1"/>
    <col min="12801" max="12801" width="8.7109375" customWidth="1"/>
    <col min="12802" max="12806" width="14.28515625" customWidth="1"/>
    <col min="13056" max="13056" width="46.42578125" bestFit="1" customWidth="1"/>
    <col min="13057" max="13057" width="8.7109375" customWidth="1"/>
    <col min="13058" max="13062" width="14.28515625" customWidth="1"/>
    <col min="13312" max="13312" width="46.42578125" bestFit="1" customWidth="1"/>
    <col min="13313" max="13313" width="8.7109375" customWidth="1"/>
    <col min="13314" max="13318" width="14.28515625" customWidth="1"/>
    <col min="13568" max="13568" width="46.42578125" bestFit="1" customWidth="1"/>
    <col min="13569" max="13569" width="8.7109375" customWidth="1"/>
    <col min="13570" max="13574" width="14.28515625" customWidth="1"/>
    <col min="13824" max="13824" width="46.42578125" bestFit="1" customWidth="1"/>
    <col min="13825" max="13825" width="8.7109375" customWidth="1"/>
    <col min="13826" max="13830" width="14.28515625" customWidth="1"/>
    <col min="14080" max="14080" width="46.42578125" bestFit="1" customWidth="1"/>
    <col min="14081" max="14081" width="8.7109375" customWidth="1"/>
    <col min="14082" max="14086" width="14.28515625" customWidth="1"/>
    <col min="14336" max="14336" width="46.42578125" bestFit="1" customWidth="1"/>
    <col min="14337" max="14337" width="8.7109375" customWidth="1"/>
    <col min="14338" max="14342" width="14.28515625" customWidth="1"/>
    <col min="14592" max="14592" width="46.42578125" bestFit="1" customWidth="1"/>
    <col min="14593" max="14593" width="8.7109375" customWidth="1"/>
    <col min="14594" max="14598" width="14.28515625" customWidth="1"/>
    <col min="14848" max="14848" width="46.42578125" bestFit="1" customWidth="1"/>
    <col min="14849" max="14849" width="8.7109375" customWidth="1"/>
    <col min="14850" max="14854" width="14.28515625" customWidth="1"/>
    <col min="15104" max="15104" width="46.42578125" bestFit="1" customWidth="1"/>
    <col min="15105" max="15105" width="8.7109375" customWidth="1"/>
    <col min="15106" max="15110" width="14.28515625" customWidth="1"/>
    <col min="15360" max="15360" width="46.42578125" bestFit="1" customWidth="1"/>
    <col min="15361" max="15361" width="8.7109375" customWidth="1"/>
    <col min="15362" max="15366" width="14.28515625" customWidth="1"/>
    <col min="15616" max="15616" width="46.42578125" bestFit="1" customWidth="1"/>
    <col min="15617" max="15617" width="8.7109375" customWidth="1"/>
    <col min="15618" max="15622" width="14.28515625" customWidth="1"/>
    <col min="15872" max="15872" width="46.42578125" bestFit="1" customWidth="1"/>
    <col min="15873" max="15873" width="8.7109375" customWidth="1"/>
    <col min="15874" max="15878" width="14.28515625" customWidth="1"/>
    <col min="16128" max="16128" width="46.42578125" bestFit="1" customWidth="1"/>
    <col min="16129" max="16129" width="8.7109375" customWidth="1"/>
    <col min="16130" max="16134" width="14.28515625" customWidth="1"/>
  </cols>
  <sheetData>
    <row r="3" spans="1:8" ht="15">
      <c r="A3" s="35" t="s">
        <v>1825</v>
      </c>
      <c r="B3" s="34"/>
      <c r="C3" s="34"/>
      <c r="D3" s="34"/>
      <c r="E3" s="34"/>
      <c r="F3" s="34"/>
    </row>
    <row r="4" spans="1:8" ht="15">
      <c r="A4" s="341" t="s">
        <v>972</v>
      </c>
      <c r="B4" s="341"/>
      <c r="C4" s="341"/>
      <c r="D4" s="341"/>
      <c r="E4" s="341"/>
      <c r="F4" s="341"/>
    </row>
    <row r="5" spans="1:8" ht="15" hidden="1">
      <c r="A5" s="36" t="s">
        <v>54</v>
      </c>
      <c r="B5" s="34"/>
      <c r="C5" s="34"/>
      <c r="D5" s="34"/>
      <c r="E5" s="34"/>
      <c r="F5" s="34"/>
    </row>
    <row r="6" spans="1:8" hidden="1">
      <c r="A6" s="37" t="s">
        <v>54</v>
      </c>
      <c r="B6" s="34"/>
      <c r="C6" s="34"/>
      <c r="D6" s="34"/>
      <c r="E6" s="34"/>
      <c r="F6" s="34"/>
    </row>
    <row r="7" spans="1:8" hidden="1">
      <c r="A7" s="342">
        <v>42460</v>
      </c>
      <c r="B7" s="342"/>
      <c r="C7" s="342"/>
      <c r="D7" s="342"/>
      <c r="E7" s="342"/>
      <c r="F7" s="342"/>
    </row>
    <row r="8" spans="1:8">
      <c r="A8" s="38"/>
      <c r="B8" s="38"/>
      <c r="C8" s="38"/>
      <c r="D8" s="38"/>
      <c r="E8" s="38"/>
      <c r="F8" s="38"/>
    </row>
    <row r="9" spans="1:8" ht="13.5" thickBot="1">
      <c r="C9" s="17" t="s">
        <v>251</v>
      </c>
      <c r="D9" s="17" t="s">
        <v>251</v>
      </c>
      <c r="E9" s="17" t="s">
        <v>251</v>
      </c>
      <c r="F9" s="17" t="s">
        <v>44</v>
      </c>
      <c r="G9" s="248" t="s">
        <v>1701</v>
      </c>
    </row>
    <row r="10" spans="1:8" ht="13.5" thickTop="1">
      <c r="A10" s="39"/>
      <c r="B10" s="40"/>
      <c r="C10" s="41" t="s">
        <v>55</v>
      </c>
      <c r="D10" s="41" t="s">
        <v>55</v>
      </c>
      <c r="E10" s="41" t="s">
        <v>55</v>
      </c>
      <c r="F10" s="41"/>
      <c r="G10" s="61"/>
    </row>
    <row r="11" spans="1:8" ht="13.5" thickBot="1">
      <c r="A11" s="42"/>
      <c r="B11" s="43"/>
      <c r="C11" s="44" t="s">
        <v>58</v>
      </c>
      <c r="D11" s="44" t="s">
        <v>57</v>
      </c>
      <c r="E11" s="44" t="s">
        <v>59</v>
      </c>
      <c r="F11" s="44" t="s">
        <v>57</v>
      </c>
      <c r="G11" s="62" t="s">
        <v>57</v>
      </c>
      <c r="H11" s="55" t="s">
        <v>252</v>
      </c>
    </row>
    <row r="12" spans="1:8" ht="13.5" thickTop="1">
      <c r="A12" s="45" t="s">
        <v>60</v>
      </c>
      <c r="B12" s="46"/>
      <c r="C12" s="47"/>
      <c r="D12" s="47"/>
      <c r="E12" s="47"/>
      <c r="F12" s="47"/>
    </row>
    <row r="13" spans="1:8">
      <c r="A13" s="30" t="s">
        <v>973</v>
      </c>
      <c r="B13" s="30" t="s">
        <v>974</v>
      </c>
      <c r="C13" s="56">
        <v>59767.08</v>
      </c>
      <c r="D13" s="56">
        <v>43350</v>
      </c>
      <c r="E13" s="56">
        <v>-16417.080000000002</v>
      </c>
      <c r="F13" s="56">
        <v>43350</v>
      </c>
      <c r="G13" s="66">
        <f>F13</f>
        <v>43350</v>
      </c>
    </row>
    <row r="14" spans="1:8">
      <c r="A14" s="30" t="s">
        <v>1513</v>
      </c>
      <c r="B14" s="30" t="s">
        <v>975</v>
      </c>
      <c r="C14" s="56">
        <v>40264.5</v>
      </c>
      <c r="D14" s="56">
        <v>43350</v>
      </c>
      <c r="E14" s="56">
        <v>3085.5</v>
      </c>
      <c r="F14" s="56">
        <v>43350</v>
      </c>
      <c r="G14" s="66">
        <f>F14</f>
        <v>43350</v>
      </c>
    </row>
    <row r="15" spans="1:8">
      <c r="A15" s="30"/>
      <c r="B15" s="30"/>
      <c r="C15" s="56"/>
      <c r="D15" s="56"/>
      <c r="E15" s="56"/>
      <c r="F15" s="56"/>
    </row>
    <row r="16" spans="1:8">
      <c r="A16" s="49" t="s">
        <v>115</v>
      </c>
      <c r="B16" s="50"/>
      <c r="C16" s="57">
        <v>100031.58</v>
      </c>
      <c r="D16" s="57">
        <v>86700</v>
      </c>
      <c r="E16" s="57">
        <v>-13331.580000000002</v>
      </c>
      <c r="F16" s="57">
        <v>86700</v>
      </c>
      <c r="G16" s="76">
        <f>SUM(G13:G14)</f>
        <v>86700</v>
      </c>
    </row>
    <row r="17" spans="1:7">
      <c r="A17" s="46"/>
      <c r="C17" s="56"/>
      <c r="D17" s="56"/>
      <c r="E17" s="56"/>
      <c r="F17" s="56"/>
    </row>
    <row r="18" spans="1:7">
      <c r="A18" s="45" t="s">
        <v>116</v>
      </c>
      <c r="C18" s="56"/>
      <c r="D18" s="56"/>
      <c r="E18" s="56"/>
      <c r="F18" s="56"/>
    </row>
    <row r="19" spans="1:7">
      <c r="A19" s="30" t="s">
        <v>976</v>
      </c>
      <c r="B19" s="30" t="s">
        <v>977</v>
      </c>
      <c r="C19" s="56">
        <v>32604</v>
      </c>
      <c r="D19" s="56">
        <v>46500</v>
      </c>
      <c r="E19" s="56">
        <v>13896</v>
      </c>
      <c r="F19" s="56">
        <v>44094.75</v>
      </c>
      <c r="G19" s="66">
        <f>41995*1.05</f>
        <v>44094.75</v>
      </c>
    </row>
    <row r="20" spans="1:7">
      <c r="A20" s="30" t="s">
        <v>978</v>
      </c>
      <c r="B20" s="30" t="s">
        <v>979</v>
      </c>
      <c r="C20" s="56">
        <v>4280.74</v>
      </c>
      <c r="D20" s="56">
        <v>0</v>
      </c>
      <c r="E20" s="56">
        <v>-4280.74</v>
      </c>
      <c r="F20" s="56">
        <v>5707.6533333333327</v>
      </c>
      <c r="G20" s="66">
        <f>C20/9*12</f>
        <v>5707.6533333333327</v>
      </c>
    </row>
    <row r="21" spans="1:7">
      <c r="A21" s="30" t="s">
        <v>980</v>
      </c>
      <c r="B21" s="30" t="s">
        <v>981</v>
      </c>
      <c r="C21" s="56">
        <v>743.4</v>
      </c>
      <c r="D21" s="56">
        <v>0</v>
      </c>
      <c r="E21" s="56">
        <v>-743.4</v>
      </c>
      <c r="F21" s="56">
        <v>991.19999999999993</v>
      </c>
      <c r="G21" s="66">
        <f>C21/9*12</f>
        <v>991.19999999999993</v>
      </c>
    </row>
    <row r="22" spans="1:7">
      <c r="A22" s="30" t="s">
        <v>982</v>
      </c>
      <c r="B22" s="30" t="s">
        <v>983</v>
      </c>
      <c r="C22" s="56">
        <v>1615.2</v>
      </c>
      <c r="D22" s="56">
        <v>0</v>
      </c>
      <c r="E22" s="56">
        <v>-1615.2</v>
      </c>
      <c r="F22" s="56">
        <v>2153.6</v>
      </c>
      <c r="G22" s="66">
        <f>C22/9*12</f>
        <v>2153.6</v>
      </c>
    </row>
    <row r="23" spans="1:7">
      <c r="A23" s="30" t="s">
        <v>984</v>
      </c>
      <c r="B23" s="30" t="s">
        <v>985</v>
      </c>
      <c r="C23" s="56">
        <f>4400-3480.5</f>
        <v>919.5</v>
      </c>
      <c r="D23" s="56">
        <v>4400</v>
      </c>
      <c r="E23" s="56">
        <v>3480.5</v>
      </c>
      <c r="F23" s="56">
        <v>4400</v>
      </c>
      <c r="G23" s="66">
        <f>F23</f>
        <v>4400</v>
      </c>
    </row>
    <row r="24" spans="1:7">
      <c r="A24" s="30" t="s">
        <v>986</v>
      </c>
      <c r="B24" s="30" t="s">
        <v>987</v>
      </c>
      <c r="C24" s="56">
        <v>128.02000000000001</v>
      </c>
      <c r="D24" s="56">
        <v>1200</v>
      </c>
      <c r="E24" s="56">
        <v>1071.98</v>
      </c>
      <c r="F24" s="56">
        <v>600</v>
      </c>
      <c r="G24" s="66">
        <f>600</f>
        <v>600</v>
      </c>
    </row>
    <row r="25" spans="1:7">
      <c r="A25" s="30" t="s">
        <v>899</v>
      </c>
      <c r="B25" s="30" t="s">
        <v>988</v>
      </c>
      <c r="C25" s="56">
        <v>725</v>
      </c>
      <c r="D25" s="56">
        <v>0</v>
      </c>
      <c r="E25" s="56">
        <v>-725</v>
      </c>
      <c r="F25" s="56">
        <v>1000</v>
      </c>
      <c r="G25" s="66">
        <v>1000</v>
      </c>
    </row>
    <row r="26" spans="1:7">
      <c r="A26" s="30" t="s">
        <v>989</v>
      </c>
      <c r="B26" s="30" t="s">
        <v>990</v>
      </c>
      <c r="C26" s="56">
        <v>0</v>
      </c>
      <c r="D26" s="56">
        <v>2000</v>
      </c>
      <c r="E26" s="56">
        <v>2000</v>
      </c>
      <c r="F26" s="56">
        <v>1000</v>
      </c>
      <c r="G26" s="66">
        <v>1000</v>
      </c>
    </row>
    <row r="27" spans="1:7">
      <c r="A27" s="30" t="s">
        <v>991</v>
      </c>
      <c r="B27" s="30" t="s">
        <v>992</v>
      </c>
      <c r="C27" s="56">
        <v>13721.7</v>
      </c>
      <c r="D27" s="56">
        <v>24700</v>
      </c>
      <c r="E27" s="56">
        <v>10978.3</v>
      </c>
      <c r="F27" s="56">
        <v>18752.8</v>
      </c>
      <c r="G27" s="66">
        <f>20000-1247.2</f>
        <v>18752.8</v>
      </c>
    </row>
    <row r="28" spans="1:7">
      <c r="A28" s="30" t="s">
        <v>993</v>
      </c>
      <c r="B28" s="30" t="s">
        <v>994</v>
      </c>
      <c r="C28" s="56">
        <v>477</v>
      </c>
      <c r="D28" s="56">
        <v>3000</v>
      </c>
      <c r="E28" s="56">
        <v>2523</v>
      </c>
      <c r="F28" s="56">
        <v>1000</v>
      </c>
      <c r="G28" s="66">
        <f>1000</f>
        <v>1000</v>
      </c>
    </row>
    <row r="29" spans="1:7">
      <c r="A29" s="30" t="s">
        <v>995</v>
      </c>
      <c r="B29" s="30" t="s">
        <v>996</v>
      </c>
      <c r="C29" s="56">
        <v>6011.92</v>
      </c>
      <c r="D29" s="56">
        <v>4900</v>
      </c>
      <c r="E29" s="56">
        <v>-1111.92</v>
      </c>
      <c r="F29" s="56">
        <v>7000</v>
      </c>
      <c r="G29" s="66">
        <f>7000</f>
        <v>7000</v>
      </c>
    </row>
    <row r="30" spans="1:7">
      <c r="C30" s="56"/>
      <c r="D30" s="56"/>
      <c r="E30" s="56"/>
      <c r="F30" s="56"/>
    </row>
    <row r="31" spans="1:7">
      <c r="A31" s="49" t="s">
        <v>249</v>
      </c>
      <c r="B31" s="52"/>
      <c r="C31" s="57">
        <v>61226.479999999996</v>
      </c>
      <c r="D31" s="57">
        <v>86700</v>
      </c>
      <c r="E31" s="57">
        <v>25473.519999999997</v>
      </c>
      <c r="F31" s="57">
        <v>86700.003333333327</v>
      </c>
      <c r="G31" s="76">
        <f>SUM(G19:G29)</f>
        <v>86700.003333333327</v>
      </c>
    </row>
    <row r="32" spans="1:7">
      <c r="C32" s="56"/>
      <c r="D32" s="56"/>
      <c r="E32" s="56"/>
      <c r="F32" s="56"/>
    </row>
    <row r="33" spans="1:7" ht="13.5" thickBot="1">
      <c r="A33" s="43" t="s">
        <v>250</v>
      </c>
      <c r="B33" s="53"/>
      <c r="C33" s="54">
        <v>38805.100000000006</v>
      </c>
      <c r="D33" s="54">
        <v>0</v>
      </c>
      <c r="E33" s="54">
        <v>-38805.1</v>
      </c>
      <c r="F33" s="54">
        <v>-3.3333333267364651E-3</v>
      </c>
      <c r="G33" s="77">
        <f>G16-G31</f>
        <v>-3.3333333267364651E-3</v>
      </c>
    </row>
    <row r="34" spans="1:7" ht="13.5" thickTop="1"/>
  </sheetData>
  <mergeCells count="2">
    <mergeCell ref="A4:F4"/>
    <mergeCell ref="A7:F7"/>
  </mergeCells>
  <pageMargins left="0.7" right="0.7" top="0.75" bottom="0.75" header="0.3" footer="0.3"/>
  <pageSetup orientation="landscape" horizontalDpi="4294967293" vertic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3"/>
  <sheetViews>
    <sheetView workbookViewId="0">
      <selection activeCell="A4" sqref="A4:F4"/>
    </sheetView>
  </sheetViews>
  <sheetFormatPr defaultRowHeight="12.75"/>
  <cols>
    <col min="1" max="1" width="46.42578125" bestFit="1" customWidth="1"/>
    <col min="2" max="2" width="8.7109375" customWidth="1"/>
    <col min="3" max="5" width="14.28515625" hidden="1" customWidth="1"/>
    <col min="6" max="6" width="14.28515625" customWidth="1"/>
    <col min="7" max="7" width="10.7109375" style="66" bestFit="1" customWidth="1"/>
    <col min="8" max="8" width="21.5703125" customWidth="1"/>
    <col min="256" max="256" width="46.42578125" bestFit="1" customWidth="1"/>
    <col min="257" max="257" width="8.7109375" customWidth="1"/>
    <col min="258" max="262" width="14.28515625" customWidth="1"/>
    <col min="512" max="512" width="46.42578125" bestFit="1" customWidth="1"/>
    <col min="513" max="513" width="8.7109375" customWidth="1"/>
    <col min="514" max="518" width="14.28515625" customWidth="1"/>
    <col min="768" max="768" width="46.42578125" bestFit="1" customWidth="1"/>
    <col min="769" max="769" width="8.7109375" customWidth="1"/>
    <col min="770" max="774" width="14.28515625" customWidth="1"/>
    <col min="1024" max="1024" width="46.42578125" bestFit="1" customWidth="1"/>
    <col min="1025" max="1025" width="8.7109375" customWidth="1"/>
    <col min="1026" max="1030" width="14.28515625" customWidth="1"/>
    <col min="1280" max="1280" width="46.42578125" bestFit="1" customWidth="1"/>
    <col min="1281" max="1281" width="8.7109375" customWidth="1"/>
    <col min="1282" max="1286" width="14.28515625" customWidth="1"/>
    <col min="1536" max="1536" width="46.42578125" bestFit="1" customWidth="1"/>
    <col min="1537" max="1537" width="8.7109375" customWidth="1"/>
    <col min="1538" max="1542" width="14.28515625" customWidth="1"/>
    <col min="1792" max="1792" width="46.42578125" bestFit="1" customWidth="1"/>
    <col min="1793" max="1793" width="8.7109375" customWidth="1"/>
    <col min="1794" max="1798" width="14.28515625" customWidth="1"/>
    <col min="2048" max="2048" width="46.42578125" bestFit="1" customWidth="1"/>
    <col min="2049" max="2049" width="8.7109375" customWidth="1"/>
    <col min="2050" max="2054" width="14.28515625" customWidth="1"/>
    <col min="2304" max="2304" width="46.42578125" bestFit="1" customWidth="1"/>
    <col min="2305" max="2305" width="8.7109375" customWidth="1"/>
    <col min="2306" max="2310" width="14.28515625" customWidth="1"/>
    <col min="2560" max="2560" width="46.42578125" bestFit="1" customWidth="1"/>
    <col min="2561" max="2561" width="8.7109375" customWidth="1"/>
    <col min="2562" max="2566" width="14.28515625" customWidth="1"/>
    <col min="2816" max="2816" width="46.42578125" bestFit="1" customWidth="1"/>
    <col min="2817" max="2817" width="8.7109375" customWidth="1"/>
    <col min="2818" max="2822" width="14.28515625" customWidth="1"/>
    <col min="3072" max="3072" width="46.42578125" bestFit="1" customWidth="1"/>
    <col min="3073" max="3073" width="8.7109375" customWidth="1"/>
    <col min="3074" max="3078" width="14.28515625" customWidth="1"/>
    <col min="3328" max="3328" width="46.42578125" bestFit="1" customWidth="1"/>
    <col min="3329" max="3329" width="8.7109375" customWidth="1"/>
    <col min="3330" max="3334" width="14.28515625" customWidth="1"/>
    <col min="3584" max="3584" width="46.42578125" bestFit="1" customWidth="1"/>
    <col min="3585" max="3585" width="8.7109375" customWidth="1"/>
    <col min="3586" max="3590" width="14.28515625" customWidth="1"/>
    <col min="3840" max="3840" width="46.42578125" bestFit="1" customWidth="1"/>
    <col min="3841" max="3841" width="8.7109375" customWidth="1"/>
    <col min="3842" max="3846" width="14.28515625" customWidth="1"/>
    <col min="4096" max="4096" width="46.42578125" bestFit="1" customWidth="1"/>
    <col min="4097" max="4097" width="8.7109375" customWidth="1"/>
    <col min="4098" max="4102" width="14.28515625" customWidth="1"/>
    <col min="4352" max="4352" width="46.42578125" bestFit="1" customWidth="1"/>
    <col min="4353" max="4353" width="8.7109375" customWidth="1"/>
    <col min="4354" max="4358" width="14.28515625" customWidth="1"/>
    <col min="4608" max="4608" width="46.42578125" bestFit="1" customWidth="1"/>
    <col min="4609" max="4609" width="8.7109375" customWidth="1"/>
    <col min="4610" max="4614" width="14.28515625" customWidth="1"/>
    <col min="4864" max="4864" width="46.42578125" bestFit="1" customWidth="1"/>
    <col min="4865" max="4865" width="8.7109375" customWidth="1"/>
    <col min="4866" max="4870" width="14.28515625" customWidth="1"/>
    <col min="5120" max="5120" width="46.42578125" bestFit="1" customWidth="1"/>
    <col min="5121" max="5121" width="8.7109375" customWidth="1"/>
    <col min="5122" max="5126" width="14.28515625" customWidth="1"/>
    <col min="5376" max="5376" width="46.42578125" bestFit="1" customWidth="1"/>
    <col min="5377" max="5377" width="8.7109375" customWidth="1"/>
    <col min="5378" max="5382" width="14.28515625" customWidth="1"/>
    <col min="5632" max="5632" width="46.42578125" bestFit="1" customWidth="1"/>
    <col min="5633" max="5633" width="8.7109375" customWidth="1"/>
    <col min="5634" max="5638" width="14.28515625" customWidth="1"/>
    <col min="5888" max="5888" width="46.42578125" bestFit="1" customWidth="1"/>
    <col min="5889" max="5889" width="8.7109375" customWidth="1"/>
    <col min="5890" max="5894" width="14.28515625" customWidth="1"/>
    <col min="6144" max="6144" width="46.42578125" bestFit="1" customWidth="1"/>
    <col min="6145" max="6145" width="8.7109375" customWidth="1"/>
    <col min="6146" max="6150" width="14.28515625" customWidth="1"/>
    <col min="6400" max="6400" width="46.42578125" bestFit="1" customWidth="1"/>
    <col min="6401" max="6401" width="8.7109375" customWidth="1"/>
    <col min="6402" max="6406" width="14.28515625" customWidth="1"/>
    <col min="6656" max="6656" width="46.42578125" bestFit="1" customWidth="1"/>
    <col min="6657" max="6657" width="8.7109375" customWidth="1"/>
    <col min="6658" max="6662" width="14.28515625" customWidth="1"/>
    <col min="6912" max="6912" width="46.42578125" bestFit="1" customWidth="1"/>
    <col min="6913" max="6913" width="8.7109375" customWidth="1"/>
    <col min="6914" max="6918" width="14.28515625" customWidth="1"/>
    <col min="7168" max="7168" width="46.42578125" bestFit="1" customWidth="1"/>
    <col min="7169" max="7169" width="8.7109375" customWidth="1"/>
    <col min="7170" max="7174" width="14.28515625" customWidth="1"/>
    <col min="7424" max="7424" width="46.42578125" bestFit="1" customWidth="1"/>
    <col min="7425" max="7425" width="8.7109375" customWidth="1"/>
    <col min="7426" max="7430" width="14.28515625" customWidth="1"/>
    <col min="7680" max="7680" width="46.42578125" bestFit="1" customWidth="1"/>
    <col min="7681" max="7681" width="8.7109375" customWidth="1"/>
    <col min="7682" max="7686" width="14.28515625" customWidth="1"/>
    <col min="7936" max="7936" width="46.42578125" bestFit="1" customWidth="1"/>
    <col min="7937" max="7937" width="8.7109375" customWidth="1"/>
    <col min="7938" max="7942" width="14.28515625" customWidth="1"/>
    <col min="8192" max="8192" width="46.42578125" bestFit="1" customWidth="1"/>
    <col min="8193" max="8193" width="8.7109375" customWidth="1"/>
    <col min="8194" max="8198" width="14.28515625" customWidth="1"/>
    <col min="8448" max="8448" width="46.42578125" bestFit="1" customWidth="1"/>
    <col min="8449" max="8449" width="8.7109375" customWidth="1"/>
    <col min="8450" max="8454" width="14.28515625" customWidth="1"/>
    <col min="8704" max="8704" width="46.42578125" bestFit="1" customWidth="1"/>
    <col min="8705" max="8705" width="8.7109375" customWidth="1"/>
    <col min="8706" max="8710" width="14.28515625" customWidth="1"/>
    <col min="8960" max="8960" width="46.42578125" bestFit="1" customWidth="1"/>
    <col min="8961" max="8961" width="8.7109375" customWidth="1"/>
    <col min="8962" max="8966" width="14.28515625" customWidth="1"/>
    <col min="9216" max="9216" width="46.42578125" bestFit="1" customWidth="1"/>
    <col min="9217" max="9217" width="8.7109375" customWidth="1"/>
    <col min="9218" max="9222" width="14.28515625" customWidth="1"/>
    <col min="9472" max="9472" width="46.42578125" bestFit="1" customWidth="1"/>
    <col min="9473" max="9473" width="8.7109375" customWidth="1"/>
    <col min="9474" max="9478" width="14.28515625" customWidth="1"/>
    <col min="9728" max="9728" width="46.42578125" bestFit="1" customWidth="1"/>
    <col min="9729" max="9729" width="8.7109375" customWidth="1"/>
    <col min="9730" max="9734" width="14.28515625" customWidth="1"/>
    <col min="9984" max="9984" width="46.42578125" bestFit="1" customWidth="1"/>
    <col min="9985" max="9985" width="8.7109375" customWidth="1"/>
    <col min="9986" max="9990" width="14.28515625" customWidth="1"/>
    <col min="10240" max="10240" width="46.42578125" bestFit="1" customWidth="1"/>
    <col min="10241" max="10241" width="8.7109375" customWidth="1"/>
    <col min="10242" max="10246" width="14.28515625" customWidth="1"/>
    <col min="10496" max="10496" width="46.42578125" bestFit="1" customWidth="1"/>
    <col min="10497" max="10497" width="8.7109375" customWidth="1"/>
    <col min="10498" max="10502" width="14.28515625" customWidth="1"/>
    <col min="10752" max="10752" width="46.42578125" bestFit="1" customWidth="1"/>
    <col min="10753" max="10753" width="8.7109375" customWidth="1"/>
    <col min="10754" max="10758" width="14.28515625" customWidth="1"/>
    <col min="11008" max="11008" width="46.42578125" bestFit="1" customWidth="1"/>
    <col min="11009" max="11009" width="8.7109375" customWidth="1"/>
    <col min="11010" max="11014" width="14.28515625" customWidth="1"/>
    <col min="11264" max="11264" width="46.42578125" bestFit="1" customWidth="1"/>
    <col min="11265" max="11265" width="8.7109375" customWidth="1"/>
    <col min="11266" max="11270" width="14.28515625" customWidth="1"/>
    <col min="11520" max="11520" width="46.42578125" bestFit="1" customWidth="1"/>
    <col min="11521" max="11521" width="8.7109375" customWidth="1"/>
    <col min="11522" max="11526" width="14.28515625" customWidth="1"/>
    <col min="11776" max="11776" width="46.42578125" bestFit="1" customWidth="1"/>
    <col min="11777" max="11777" width="8.7109375" customWidth="1"/>
    <col min="11778" max="11782" width="14.28515625" customWidth="1"/>
    <col min="12032" max="12032" width="46.42578125" bestFit="1" customWidth="1"/>
    <col min="12033" max="12033" width="8.7109375" customWidth="1"/>
    <col min="12034" max="12038" width="14.28515625" customWidth="1"/>
    <col min="12288" max="12288" width="46.42578125" bestFit="1" customWidth="1"/>
    <col min="12289" max="12289" width="8.7109375" customWidth="1"/>
    <col min="12290" max="12294" width="14.28515625" customWidth="1"/>
    <col min="12544" max="12544" width="46.42578125" bestFit="1" customWidth="1"/>
    <col min="12545" max="12545" width="8.7109375" customWidth="1"/>
    <col min="12546" max="12550" width="14.28515625" customWidth="1"/>
    <col min="12800" max="12800" width="46.42578125" bestFit="1" customWidth="1"/>
    <col min="12801" max="12801" width="8.7109375" customWidth="1"/>
    <col min="12802" max="12806" width="14.28515625" customWidth="1"/>
    <col min="13056" max="13056" width="46.42578125" bestFit="1" customWidth="1"/>
    <col min="13057" max="13057" width="8.7109375" customWidth="1"/>
    <col min="13058" max="13062" width="14.28515625" customWidth="1"/>
    <col min="13312" max="13312" width="46.42578125" bestFit="1" customWidth="1"/>
    <col min="13313" max="13313" width="8.7109375" customWidth="1"/>
    <col min="13314" max="13318" width="14.28515625" customWidth="1"/>
    <col min="13568" max="13568" width="46.42578125" bestFit="1" customWidth="1"/>
    <col min="13569" max="13569" width="8.7109375" customWidth="1"/>
    <col min="13570" max="13574" width="14.28515625" customWidth="1"/>
    <col min="13824" max="13824" width="46.42578125" bestFit="1" customWidth="1"/>
    <col min="13825" max="13825" width="8.7109375" customWidth="1"/>
    <col min="13826" max="13830" width="14.28515625" customWidth="1"/>
    <col min="14080" max="14080" width="46.42578125" bestFit="1" customWidth="1"/>
    <col min="14081" max="14081" width="8.7109375" customWidth="1"/>
    <col min="14082" max="14086" width="14.28515625" customWidth="1"/>
    <col min="14336" max="14336" width="46.42578125" bestFit="1" customWidth="1"/>
    <col min="14337" max="14337" width="8.7109375" customWidth="1"/>
    <col min="14338" max="14342" width="14.28515625" customWidth="1"/>
    <col min="14592" max="14592" width="46.42578125" bestFit="1" customWidth="1"/>
    <col min="14593" max="14593" width="8.7109375" customWidth="1"/>
    <col min="14594" max="14598" width="14.28515625" customWidth="1"/>
    <col min="14848" max="14848" width="46.42578125" bestFit="1" customWidth="1"/>
    <col min="14849" max="14849" width="8.7109375" customWidth="1"/>
    <col min="14850" max="14854" width="14.28515625" customWidth="1"/>
    <col min="15104" max="15104" width="46.42578125" bestFit="1" customWidth="1"/>
    <col min="15105" max="15105" width="8.7109375" customWidth="1"/>
    <col min="15106" max="15110" width="14.28515625" customWidth="1"/>
    <col min="15360" max="15360" width="46.42578125" bestFit="1" customWidth="1"/>
    <col min="15361" max="15361" width="8.7109375" customWidth="1"/>
    <col min="15362" max="15366" width="14.28515625" customWidth="1"/>
    <col min="15616" max="15616" width="46.42578125" bestFit="1" customWidth="1"/>
    <col min="15617" max="15617" width="8.7109375" customWidth="1"/>
    <col min="15618" max="15622" width="14.28515625" customWidth="1"/>
    <col min="15872" max="15872" width="46.42578125" bestFit="1" customWidth="1"/>
    <col min="15873" max="15873" width="8.7109375" customWidth="1"/>
    <col min="15874" max="15878" width="14.28515625" customWidth="1"/>
    <col min="16128" max="16128" width="46.42578125" bestFit="1" customWidth="1"/>
    <col min="16129" max="16129" width="8.7109375" customWidth="1"/>
    <col min="16130" max="16134" width="14.28515625" customWidth="1"/>
  </cols>
  <sheetData>
    <row r="3" spans="1:8" ht="15">
      <c r="A3" s="35" t="s">
        <v>1825</v>
      </c>
      <c r="B3" s="34"/>
      <c r="C3" s="34"/>
      <c r="D3" s="34"/>
      <c r="E3" s="34"/>
      <c r="F3" s="34"/>
    </row>
    <row r="4" spans="1:8" ht="15">
      <c r="A4" s="341" t="s">
        <v>253</v>
      </c>
      <c r="B4" s="341"/>
      <c r="C4" s="341"/>
      <c r="D4" s="341"/>
      <c r="E4" s="341"/>
      <c r="F4" s="341"/>
    </row>
    <row r="5" spans="1:8" ht="15" hidden="1">
      <c r="A5" s="36" t="s">
        <v>54</v>
      </c>
      <c r="B5" s="34"/>
      <c r="C5" s="34"/>
      <c r="D5" s="34"/>
      <c r="E5" s="34"/>
      <c r="F5" s="34"/>
    </row>
    <row r="6" spans="1:8" hidden="1">
      <c r="A6" s="37" t="s">
        <v>54</v>
      </c>
      <c r="B6" s="34"/>
      <c r="C6" s="34"/>
      <c r="D6" s="34"/>
      <c r="E6" s="34"/>
      <c r="F6" s="34"/>
    </row>
    <row r="7" spans="1:8" hidden="1">
      <c r="A7" s="342">
        <v>42460</v>
      </c>
      <c r="B7" s="342"/>
      <c r="C7" s="342"/>
      <c r="D7" s="342"/>
      <c r="E7" s="342"/>
      <c r="F7" s="342"/>
    </row>
    <row r="8" spans="1:8">
      <c r="A8" s="38"/>
      <c r="B8" s="38"/>
      <c r="C8" s="38"/>
      <c r="D8" s="38"/>
      <c r="E8" s="38"/>
      <c r="F8" s="38"/>
    </row>
    <row r="9" spans="1:8" ht="13.5" thickBot="1">
      <c r="C9" s="17" t="s">
        <v>251</v>
      </c>
      <c r="D9" s="17" t="s">
        <v>251</v>
      </c>
      <c r="E9" s="17" t="s">
        <v>251</v>
      </c>
      <c r="F9" s="17" t="s">
        <v>44</v>
      </c>
      <c r="G9" s="248" t="s">
        <v>1722</v>
      </c>
    </row>
    <row r="10" spans="1:8" ht="13.5" thickTop="1">
      <c r="A10" s="39"/>
      <c r="B10" s="40"/>
      <c r="C10" s="41" t="s">
        <v>55</v>
      </c>
      <c r="D10" s="41" t="s">
        <v>55</v>
      </c>
      <c r="E10" s="41" t="s">
        <v>55</v>
      </c>
      <c r="F10" s="41"/>
      <c r="G10" s="61"/>
    </row>
    <row r="11" spans="1:8" ht="13.5" thickBot="1">
      <c r="A11" s="42"/>
      <c r="B11" s="43"/>
      <c r="C11" s="44" t="s">
        <v>58</v>
      </c>
      <c r="D11" s="44" t="s">
        <v>57</v>
      </c>
      <c r="E11" s="44" t="s">
        <v>59</v>
      </c>
      <c r="F11" s="44" t="s">
        <v>57</v>
      </c>
      <c r="G11" s="62" t="s">
        <v>57</v>
      </c>
      <c r="H11" s="55" t="s">
        <v>252</v>
      </c>
    </row>
    <row r="12" spans="1:8" ht="13.5" thickTop="1">
      <c r="A12" s="45" t="s">
        <v>60</v>
      </c>
      <c r="B12" s="46"/>
      <c r="C12" s="47"/>
      <c r="D12" s="47"/>
      <c r="E12" s="47"/>
      <c r="F12" s="47"/>
      <c r="G12" s="59"/>
    </row>
    <row r="13" spans="1:8">
      <c r="A13" s="30" t="s">
        <v>254</v>
      </c>
      <c r="B13" s="30" t="s">
        <v>255</v>
      </c>
      <c r="C13" s="56">
        <v>18206.3</v>
      </c>
      <c r="D13" s="56">
        <v>37518</v>
      </c>
      <c r="E13" s="56">
        <v>19311.7</v>
      </c>
      <c r="F13" s="56">
        <v>43695.12</v>
      </c>
      <c r="G13" s="66">
        <f>3641.26*12</f>
        <v>43695.12</v>
      </c>
      <c r="H13" t="s">
        <v>1029</v>
      </c>
    </row>
    <row r="14" spans="1:8">
      <c r="A14" s="30" t="s">
        <v>256</v>
      </c>
      <c r="B14" s="30" t="s">
        <v>257</v>
      </c>
      <c r="C14" s="56">
        <v>91288.12</v>
      </c>
      <c r="D14" s="56">
        <v>1000</v>
      </c>
      <c r="E14" s="56">
        <v>-90288.12</v>
      </c>
      <c r="F14" s="56">
        <v>219091.48800000001</v>
      </c>
      <c r="G14" s="66">
        <f>C14/5*12</f>
        <v>219091.48800000001</v>
      </c>
    </row>
    <row r="15" spans="1:8">
      <c r="A15" s="30"/>
      <c r="B15" s="30"/>
      <c r="C15" s="56"/>
      <c r="D15" s="56"/>
      <c r="E15" s="56"/>
      <c r="F15" s="56"/>
    </row>
    <row r="16" spans="1:8">
      <c r="A16" s="49" t="s">
        <v>115</v>
      </c>
      <c r="B16" s="50"/>
      <c r="C16" s="57">
        <v>109494.42</v>
      </c>
      <c r="D16" s="57">
        <v>38518</v>
      </c>
      <c r="E16" s="57">
        <v>-70976.42</v>
      </c>
      <c r="F16" s="57">
        <v>262786.60800000001</v>
      </c>
      <c r="G16" s="76">
        <f>SUM(G13:G14)</f>
        <v>262786.60800000001</v>
      </c>
    </row>
    <row r="17" spans="1:7">
      <c r="A17" s="46"/>
      <c r="C17" s="56"/>
      <c r="D17" s="56"/>
      <c r="E17" s="56"/>
      <c r="F17" s="56"/>
    </row>
    <row r="18" spans="1:7">
      <c r="A18" s="45" t="s">
        <v>116</v>
      </c>
      <c r="C18" s="56"/>
      <c r="D18" s="56"/>
      <c r="E18" s="56"/>
      <c r="F18" s="56"/>
    </row>
    <row r="19" spans="1:7">
      <c r="A19" s="30" t="s">
        <v>258</v>
      </c>
      <c r="B19" s="30" t="s">
        <v>259</v>
      </c>
      <c r="C19" s="56">
        <v>27473.200000000001</v>
      </c>
      <c r="D19" s="56">
        <v>25188.18</v>
      </c>
      <c r="E19" s="56">
        <v>-2285.0200000000004</v>
      </c>
      <c r="F19" s="56">
        <v>28246</v>
      </c>
      <c r="G19" s="66">
        <v>29243.08</v>
      </c>
    </row>
    <row r="20" spans="1:7">
      <c r="A20" s="30" t="s">
        <v>260</v>
      </c>
      <c r="B20" s="30" t="s">
        <v>261</v>
      </c>
      <c r="C20" s="56">
        <v>251.79</v>
      </c>
      <c r="D20" s="56">
        <v>500</v>
      </c>
      <c r="E20" s="56">
        <v>248.21</v>
      </c>
      <c r="F20" s="56">
        <v>500</v>
      </c>
      <c r="G20" s="66">
        <f>F20</f>
        <v>500</v>
      </c>
    </row>
    <row r="21" spans="1:7">
      <c r="A21" s="30" t="s">
        <v>262</v>
      </c>
      <c r="B21" s="30" t="s">
        <v>263</v>
      </c>
      <c r="C21" s="56">
        <v>647.26</v>
      </c>
      <c r="D21" s="56">
        <v>550</v>
      </c>
      <c r="E21" s="56">
        <v>-97.259999999999991</v>
      </c>
      <c r="F21" s="56">
        <v>863.01333333333332</v>
      </c>
      <c r="G21" s="66">
        <f>C21/9*12</f>
        <v>863.01333333333332</v>
      </c>
    </row>
    <row r="22" spans="1:7">
      <c r="A22" s="30" t="s">
        <v>264</v>
      </c>
      <c r="B22" s="30" t="s">
        <v>265</v>
      </c>
      <c r="C22" s="56">
        <v>651.79999999999995</v>
      </c>
      <c r="D22" s="56">
        <v>700</v>
      </c>
      <c r="E22" s="56">
        <v>48.200000000000045</v>
      </c>
      <c r="F22" s="56">
        <v>869.06666666666661</v>
      </c>
      <c r="G22" s="66">
        <f>C22/9*12</f>
        <v>869.06666666666661</v>
      </c>
    </row>
    <row r="23" spans="1:7">
      <c r="A23" s="30" t="s">
        <v>266</v>
      </c>
      <c r="B23" s="30" t="s">
        <v>267</v>
      </c>
      <c r="C23" s="56">
        <v>0</v>
      </c>
      <c r="D23" s="56">
        <v>1600</v>
      </c>
      <c r="E23" s="56">
        <v>1600</v>
      </c>
      <c r="F23" s="56">
        <v>1600</v>
      </c>
      <c r="G23" s="66">
        <f>F23</f>
        <v>1600</v>
      </c>
    </row>
    <row r="24" spans="1:7">
      <c r="A24" s="30" t="s">
        <v>268</v>
      </c>
      <c r="B24" s="30" t="s">
        <v>269</v>
      </c>
      <c r="C24" s="56">
        <v>92293.09</v>
      </c>
      <c r="D24" s="56">
        <v>0</v>
      </c>
      <c r="E24" s="56">
        <v>-92293.09</v>
      </c>
      <c r="F24" s="56">
        <v>221503.41599999997</v>
      </c>
      <c r="G24" s="66">
        <f>C24/5*12</f>
        <v>221503.41599999997</v>
      </c>
    </row>
    <row r="25" spans="1:7">
      <c r="A25" s="30" t="s">
        <v>270</v>
      </c>
      <c r="B25" s="30" t="s">
        <v>271</v>
      </c>
      <c r="C25" s="56">
        <v>1364.32</v>
      </c>
      <c r="D25" s="56">
        <v>1000</v>
      </c>
      <c r="E25" s="56">
        <v>-364.31999999999994</v>
      </c>
      <c r="F25" s="56">
        <v>2000</v>
      </c>
      <c r="G25" s="66">
        <v>2000</v>
      </c>
    </row>
    <row r="26" spans="1:7">
      <c r="A26" s="30" t="s">
        <v>272</v>
      </c>
      <c r="B26" s="30" t="s">
        <v>273</v>
      </c>
      <c r="C26" s="56">
        <v>41.95</v>
      </c>
      <c r="D26" s="56">
        <v>750</v>
      </c>
      <c r="E26" s="56">
        <v>708.05</v>
      </c>
      <c r="F26" s="56">
        <v>250</v>
      </c>
      <c r="G26" s="66">
        <v>250</v>
      </c>
    </row>
    <row r="27" spans="1:7">
      <c r="A27" s="30" t="s">
        <v>274</v>
      </c>
      <c r="B27" s="30" t="s">
        <v>275</v>
      </c>
      <c r="C27" s="56">
        <v>0</v>
      </c>
      <c r="D27" s="56">
        <v>600</v>
      </c>
      <c r="E27" s="56">
        <v>600</v>
      </c>
      <c r="F27" s="56">
        <v>0</v>
      </c>
      <c r="G27" s="66">
        <v>0</v>
      </c>
    </row>
    <row r="28" spans="1:7">
      <c r="A28" s="30" t="s">
        <v>276</v>
      </c>
      <c r="B28" s="30" t="s">
        <v>277</v>
      </c>
      <c r="C28" s="56">
        <v>391.5</v>
      </c>
      <c r="D28" s="56">
        <v>1500</v>
      </c>
      <c r="E28" s="56">
        <v>1108.5</v>
      </c>
      <c r="F28" s="56">
        <v>1000</v>
      </c>
      <c r="G28" s="66">
        <v>1000</v>
      </c>
    </row>
    <row r="29" spans="1:7">
      <c r="C29" s="56"/>
      <c r="D29" s="56"/>
      <c r="E29" s="56"/>
      <c r="F29" s="56"/>
    </row>
    <row r="30" spans="1:7">
      <c r="A30" s="49" t="s">
        <v>249</v>
      </c>
      <c r="B30" s="52"/>
      <c r="C30" s="57">
        <v>123114.91</v>
      </c>
      <c r="D30" s="57">
        <v>32388.18</v>
      </c>
      <c r="E30" s="57">
        <v>-90726.73</v>
      </c>
      <c r="F30" s="57">
        <v>256831.49599999996</v>
      </c>
      <c r="G30" s="76">
        <f>SUM(G19:G28)</f>
        <v>257828.57599999997</v>
      </c>
    </row>
    <row r="31" spans="1:7">
      <c r="C31" s="56"/>
      <c r="D31" s="56"/>
      <c r="E31" s="56"/>
      <c r="F31" s="56"/>
    </row>
    <row r="32" spans="1:7" ht="13.5" thickBot="1">
      <c r="A32" s="43" t="s">
        <v>250</v>
      </c>
      <c r="B32" s="53"/>
      <c r="C32" s="54">
        <v>-13620.490000000005</v>
      </c>
      <c r="D32" s="54">
        <v>6129.82</v>
      </c>
      <c r="E32" s="54">
        <v>19750.309999999998</v>
      </c>
      <c r="F32" s="54">
        <v>5955.1120000000519</v>
      </c>
      <c r="G32" s="77">
        <f>G16-G30</f>
        <v>4958.0320000000356</v>
      </c>
    </row>
    <row r="33" ht="13.5" thickTop="1"/>
  </sheetData>
  <mergeCells count="2">
    <mergeCell ref="A4:F4"/>
    <mergeCell ref="A7:F7"/>
  </mergeCells>
  <pageMargins left="0.7" right="0.7" top="0.75" bottom="0.75" header="0.3" footer="0.3"/>
  <pageSetup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topLeftCell="B3" zoomScale="150" zoomScaleNormal="150" workbookViewId="0">
      <selection activeCell="B9" sqref="B9"/>
    </sheetView>
  </sheetViews>
  <sheetFormatPr defaultRowHeight="12.75"/>
  <cols>
    <col min="2" max="2" width="59.7109375" bestFit="1" customWidth="1"/>
    <col min="3" max="3" width="20.28515625" hidden="1" customWidth="1"/>
    <col min="4" max="4" width="11.28515625" hidden="1" customWidth="1"/>
    <col min="5" max="6" width="16.7109375" hidden="1" customWidth="1"/>
    <col min="7" max="12" width="20.28515625" hidden="1" customWidth="1"/>
    <col min="13" max="14" width="20.28515625" customWidth="1"/>
    <col min="15" max="15" width="13.42578125" bestFit="1" customWidth="1"/>
  </cols>
  <sheetData>
    <row r="1" spans="1:14" ht="15" hidden="1">
      <c r="B1" s="8"/>
      <c r="C1" s="8"/>
      <c r="D1" s="8"/>
      <c r="K1" s="16" t="s">
        <v>1178</v>
      </c>
      <c r="L1" s="16" t="s">
        <v>1178</v>
      </c>
      <c r="M1" s="16" t="s">
        <v>1178</v>
      </c>
      <c r="N1" s="16" t="s">
        <v>1178</v>
      </c>
    </row>
    <row r="2" spans="1:14" ht="15" hidden="1">
      <c r="B2" s="8"/>
      <c r="C2" s="8"/>
      <c r="D2" s="8"/>
      <c r="K2" s="123">
        <v>1.4999999999999999E-2</v>
      </c>
      <c r="L2" s="124">
        <v>0</v>
      </c>
      <c r="M2" s="123">
        <v>0.02</v>
      </c>
      <c r="N2" s="124">
        <v>0</v>
      </c>
    </row>
    <row r="3" spans="1:14" ht="15.75">
      <c r="A3" s="8"/>
      <c r="B3" s="25" t="s">
        <v>1815</v>
      </c>
      <c r="C3" s="8"/>
      <c r="D3" s="8"/>
      <c r="I3" s="26" t="s">
        <v>21</v>
      </c>
      <c r="J3" s="26" t="s">
        <v>22</v>
      </c>
      <c r="K3" s="26" t="s">
        <v>21</v>
      </c>
      <c r="L3" s="26" t="s">
        <v>22</v>
      </c>
      <c r="M3" s="26" t="s">
        <v>21</v>
      </c>
      <c r="N3" s="26" t="s">
        <v>22</v>
      </c>
    </row>
    <row r="4" spans="1:14" ht="15.75">
      <c r="A4" s="8"/>
      <c r="B4" s="8"/>
      <c r="C4" s="8"/>
      <c r="D4" s="8"/>
      <c r="I4" s="125">
        <v>2016</v>
      </c>
      <c r="J4" s="125">
        <v>2016</v>
      </c>
      <c r="K4" s="125">
        <v>2017</v>
      </c>
      <c r="L4" s="125">
        <v>2017</v>
      </c>
      <c r="M4" s="125">
        <v>2018</v>
      </c>
      <c r="N4" s="125">
        <v>2018</v>
      </c>
    </row>
    <row r="5" spans="1:14" ht="15">
      <c r="A5" s="8"/>
      <c r="B5" s="8"/>
      <c r="C5" s="8"/>
      <c r="D5" s="8"/>
      <c r="F5" s="2" t="s">
        <v>1179</v>
      </c>
    </row>
    <row r="6" spans="1:14" s="2" customFormat="1" ht="15.75">
      <c r="A6" s="8"/>
      <c r="B6" s="8" t="s">
        <v>1180</v>
      </c>
      <c r="C6" s="8" t="s">
        <v>1181</v>
      </c>
      <c r="D6" s="27"/>
      <c r="E6" s="28"/>
      <c r="F6" s="28" t="s">
        <v>1182</v>
      </c>
      <c r="G6" s="28"/>
      <c r="H6" s="28"/>
      <c r="I6" s="29">
        <f>1166843+23687+29901+607</f>
        <v>1221038</v>
      </c>
      <c r="J6" s="29"/>
      <c r="K6" s="29">
        <f>1190530+26240+30508+672</f>
        <v>1247950</v>
      </c>
      <c r="L6" s="29"/>
      <c r="M6" s="244">
        <f>20430+26240+1190530+524+672+30508</f>
        <v>1268904</v>
      </c>
      <c r="N6" s="244"/>
    </row>
    <row r="7" spans="1:14" ht="15.75">
      <c r="A7" s="8"/>
      <c r="B7" s="7"/>
      <c r="C7" s="29"/>
      <c r="D7" s="27"/>
      <c r="E7" s="30"/>
      <c r="F7" s="30"/>
      <c r="G7" s="30"/>
      <c r="H7" s="30"/>
      <c r="I7" s="29"/>
      <c r="J7" s="29"/>
      <c r="K7" s="29"/>
      <c r="L7" s="29"/>
      <c r="M7" s="244"/>
      <c r="N7" s="244"/>
    </row>
    <row r="8" spans="1:14" s="2" customFormat="1" ht="15.75">
      <c r="A8" s="8"/>
      <c r="B8" s="8" t="s">
        <v>1818</v>
      </c>
      <c r="C8" s="8" t="s">
        <v>1181</v>
      </c>
      <c r="D8" s="27"/>
      <c r="E8" s="28"/>
      <c r="F8" s="28"/>
      <c r="G8" s="28"/>
      <c r="H8" s="28"/>
      <c r="I8" s="29">
        <f>81338+1651+24+838+2496+3516+41264+173205+1160+122945</f>
        <v>428437</v>
      </c>
      <c r="J8" s="29"/>
      <c r="K8" s="29">
        <f>3895+176721+82989+2765+26+42102+1184+125441+928+1829</f>
        <v>437880</v>
      </c>
      <c r="L8" s="29"/>
      <c r="M8" s="244">
        <f>26+2765+722+42102+1424+1829+3895+3033+82989+176721+125441+928+2153+1184+20</f>
        <v>445232</v>
      </c>
      <c r="N8" s="244"/>
    </row>
    <row r="9" spans="1:14" s="2" customFormat="1" ht="15.75">
      <c r="A9" s="8"/>
      <c r="B9" s="8"/>
      <c r="C9" s="27"/>
      <c r="D9" s="27"/>
      <c r="E9" s="28"/>
      <c r="F9" s="28"/>
      <c r="G9" s="28"/>
      <c r="H9" s="28"/>
      <c r="I9" s="29"/>
      <c r="J9" s="29"/>
      <c r="K9" s="29"/>
      <c r="L9" s="29"/>
      <c r="M9" s="244"/>
      <c r="N9" s="244"/>
    </row>
    <row r="10" spans="1:14" s="2" customFormat="1" ht="15.75">
      <c r="A10" s="8"/>
      <c r="B10" s="8" t="s">
        <v>1183</v>
      </c>
      <c r="C10" s="27" t="s">
        <v>1181</v>
      </c>
      <c r="D10" s="27"/>
      <c r="E10" s="28"/>
      <c r="F10" s="28"/>
      <c r="G10" s="28"/>
      <c r="H10" s="28"/>
      <c r="I10" s="29"/>
      <c r="J10" s="29">
        <v>200000</v>
      </c>
      <c r="K10" s="29"/>
      <c r="L10" s="29">
        <f>J10</f>
        <v>200000</v>
      </c>
      <c r="M10" s="244"/>
      <c r="N10" s="244">
        <f>L10</f>
        <v>200000</v>
      </c>
    </row>
    <row r="11" spans="1:14" s="2" customFormat="1" ht="15.75">
      <c r="A11" s="8"/>
      <c r="B11" s="8"/>
      <c r="C11" s="27"/>
      <c r="D11" s="27"/>
      <c r="E11" s="28"/>
      <c r="F11" s="28"/>
      <c r="G11" s="28"/>
      <c r="H11" s="28"/>
      <c r="I11" s="29"/>
      <c r="J11" s="29"/>
      <c r="K11" s="29"/>
      <c r="L11" s="29"/>
      <c r="M11" s="244"/>
      <c r="N11" s="244"/>
    </row>
    <row r="12" spans="1:14" s="2" customFormat="1" ht="15.75">
      <c r="A12" s="8"/>
      <c r="B12" s="8" t="s">
        <v>1184</v>
      </c>
      <c r="C12" s="8" t="s">
        <v>1181</v>
      </c>
      <c r="D12" s="27"/>
      <c r="E12" s="28"/>
      <c r="F12" s="28"/>
      <c r="G12" s="28"/>
      <c r="H12" s="28"/>
      <c r="I12" s="29">
        <f>47129+143789+957+2919</f>
        <v>194794</v>
      </c>
      <c r="J12" s="29">
        <f>11905+28570</f>
        <v>40475</v>
      </c>
      <c r="K12" s="244">
        <f>48086+146708+3234+1060+11905+28570</f>
        <v>239563</v>
      </c>
      <c r="L12" s="29"/>
      <c r="M12" s="244">
        <f>825+2518+28570+146708+480+200+11905+48086+3234+1060</f>
        <v>243586</v>
      </c>
      <c r="N12" s="244"/>
    </row>
    <row r="13" spans="1:14" s="2" customFormat="1" ht="15.75">
      <c r="A13" s="8"/>
      <c r="B13" s="8"/>
      <c r="C13" s="27"/>
      <c r="D13" s="27"/>
      <c r="E13" s="28"/>
      <c r="F13" s="28"/>
      <c r="G13" s="28"/>
      <c r="H13" s="28"/>
      <c r="I13" s="29"/>
      <c r="J13" s="29"/>
      <c r="K13" s="29"/>
      <c r="L13" s="29"/>
      <c r="M13" s="244"/>
      <c r="N13" s="244"/>
    </row>
    <row r="14" spans="1:14" s="2" customFormat="1" ht="15.75">
      <c r="A14" s="8"/>
      <c r="B14" s="8" t="s">
        <v>23</v>
      </c>
      <c r="C14" s="8" t="s">
        <v>1181</v>
      </c>
      <c r="D14" s="27"/>
      <c r="E14" s="28"/>
      <c r="F14" s="28"/>
      <c r="G14" s="28"/>
      <c r="H14" s="28"/>
      <c r="I14" s="29">
        <f>2765453+56139</f>
        <v>2821592</v>
      </c>
      <c r="J14" s="29"/>
      <c r="K14" s="29">
        <f>2821592+62189</f>
        <v>2883781</v>
      </c>
      <c r="L14" s="29"/>
      <c r="M14" s="244">
        <f>2821592+62189+48419</f>
        <v>2932200</v>
      </c>
      <c r="N14" s="244"/>
    </row>
    <row r="15" spans="1:14" s="2" customFormat="1" ht="15">
      <c r="A15" s="8"/>
      <c r="B15" s="8"/>
      <c r="C15" s="27"/>
      <c r="D15" s="27"/>
      <c r="E15" s="28"/>
      <c r="F15" s="28"/>
      <c r="G15" s="28"/>
      <c r="H15" s="28"/>
      <c r="I15" s="27"/>
      <c r="J15" s="27"/>
      <c r="K15" s="27"/>
      <c r="L15" s="27"/>
      <c r="M15" s="89"/>
      <c r="N15" s="89"/>
    </row>
    <row r="16" spans="1:14" s="2" customFormat="1" ht="15">
      <c r="A16" s="8"/>
      <c r="B16" s="8" t="s">
        <v>1185</v>
      </c>
      <c r="C16" s="8" t="s">
        <v>1181</v>
      </c>
      <c r="D16" s="27"/>
      <c r="E16" s="28"/>
      <c r="F16" s="28"/>
      <c r="G16" s="28"/>
      <c r="H16" s="27"/>
      <c r="I16" s="126">
        <f>533635+11055+23054+224+468+693+10833+34124</f>
        <v>614086</v>
      </c>
      <c r="J16" s="27"/>
      <c r="K16" s="27">
        <f>12000+11279+544468+767+518+249+34817+23522</f>
        <v>627620</v>
      </c>
      <c r="L16" s="27"/>
      <c r="M16" s="89">
        <f>544468+9343+12000+34817+194+518+11279+249+767+597+23522+404</f>
        <v>638158</v>
      </c>
      <c r="N16" s="89"/>
    </row>
    <row r="17" spans="1:18" s="2" customFormat="1" ht="15">
      <c r="A17" s="8"/>
      <c r="B17" s="8" t="s">
        <v>1186</v>
      </c>
      <c r="C17" s="8" t="s">
        <v>1181</v>
      </c>
      <c r="D17" s="27"/>
      <c r="E17" s="28"/>
      <c r="F17" s="28"/>
      <c r="G17" s="28"/>
      <c r="H17" s="27"/>
      <c r="I17" s="126">
        <f>3308992+67173</f>
        <v>3376165</v>
      </c>
      <c r="J17" s="27"/>
      <c r="K17" s="27">
        <f>3376165+74412</f>
        <v>3450577</v>
      </c>
      <c r="L17" s="27"/>
      <c r="M17" s="89">
        <f>57935+74412+3376165</f>
        <v>3508512</v>
      </c>
      <c r="N17" s="89"/>
    </row>
    <row r="18" spans="1:18" s="2" customFormat="1" ht="15">
      <c r="A18" s="8"/>
      <c r="B18" s="8" t="s">
        <v>46</v>
      </c>
      <c r="C18" s="8" t="s">
        <v>1181</v>
      </c>
      <c r="D18" s="27"/>
      <c r="E18" s="28"/>
      <c r="F18" s="28"/>
      <c r="G18" s="28"/>
      <c r="H18" s="27"/>
      <c r="I18" s="126">
        <f>2144136+43526</f>
        <v>2187662</v>
      </c>
      <c r="J18" s="27"/>
      <c r="K18" s="27">
        <f>48217+2187662</f>
        <v>2235879</v>
      </c>
      <c r="L18" s="27"/>
      <c r="M18" s="89">
        <f>48217+2187662+37540</f>
        <v>2273419</v>
      </c>
      <c r="N18" s="89"/>
    </row>
    <row r="19" spans="1:18" s="2" customFormat="1" ht="15">
      <c r="A19" s="8"/>
      <c r="B19" s="8" t="s">
        <v>24</v>
      </c>
      <c r="C19" s="27" t="s">
        <v>1187</v>
      </c>
      <c r="D19" s="27"/>
      <c r="E19" s="27" t="s">
        <v>1188</v>
      </c>
      <c r="F19" s="28"/>
      <c r="G19" s="28"/>
      <c r="H19" s="28"/>
      <c r="I19" s="27"/>
      <c r="J19" s="27">
        <f>465362</f>
        <v>465362</v>
      </c>
      <c r="K19" s="27"/>
      <c r="L19" s="27">
        <f>116082</f>
        <v>116082</v>
      </c>
      <c r="M19" s="89"/>
      <c r="N19" s="89">
        <v>297122</v>
      </c>
    </row>
    <row r="20" spans="1:18" s="2" customFormat="1" ht="15">
      <c r="A20" s="8"/>
      <c r="B20" s="8" t="s">
        <v>25</v>
      </c>
      <c r="C20" s="27"/>
      <c r="D20" s="27"/>
      <c r="E20" s="27"/>
      <c r="F20" s="28"/>
      <c r="G20" s="28"/>
      <c r="H20" s="28"/>
      <c r="I20" s="27"/>
      <c r="J20" s="27">
        <f>18633</f>
        <v>18633</v>
      </c>
      <c r="K20" s="27"/>
      <c r="L20" s="27"/>
      <c r="M20" s="89"/>
      <c r="N20" s="89"/>
    </row>
    <row r="21" spans="1:18" s="2" customFormat="1" ht="15">
      <c r="A21" s="8"/>
      <c r="B21" s="8" t="s">
        <v>1189</v>
      </c>
      <c r="C21" s="27" t="s">
        <v>1188</v>
      </c>
      <c r="D21" s="27"/>
      <c r="E21" s="27" t="s">
        <v>1190</v>
      </c>
      <c r="F21" s="28"/>
      <c r="G21" s="28"/>
      <c r="H21" s="28"/>
      <c r="I21" s="27"/>
      <c r="J21" s="27">
        <f>57380</f>
        <v>57380</v>
      </c>
      <c r="K21" s="27"/>
      <c r="L21" s="27"/>
      <c r="M21" s="89"/>
      <c r="N21" s="89"/>
    </row>
    <row r="22" spans="1:18" s="2" customFormat="1" ht="15">
      <c r="A22" s="8"/>
      <c r="B22" s="8" t="s">
        <v>26</v>
      </c>
      <c r="C22" s="27"/>
      <c r="D22" s="27"/>
      <c r="E22" s="27"/>
      <c r="F22" s="28"/>
      <c r="G22" s="28"/>
      <c r="H22" s="28"/>
      <c r="I22" s="27"/>
      <c r="J22" s="27">
        <f>182194</f>
        <v>182194</v>
      </c>
      <c r="K22" s="27"/>
      <c r="L22" s="27"/>
      <c r="M22" s="89"/>
      <c r="N22" s="89"/>
    </row>
    <row r="23" spans="1:18" s="2" customFormat="1" ht="15">
      <c r="A23" s="8"/>
      <c r="B23" s="8" t="s">
        <v>47</v>
      </c>
      <c r="C23" s="27" t="s">
        <v>1191</v>
      </c>
      <c r="D23" s="27"/>
      <c r="E23" s="28"/>
      <c r="F23" s="28"/>
      <c r="G23" s="28"/>
      <c r="H23" s="28"/>
      <c r="I23" s="33"/>
      <c r="J23" s="33">
        <v>22944</v>
      </c>
      <c r="K23" s="33"/>
      <c r="L23" s="33"/>
      <c r="M23" s="306"/>
      <c r="N23" s="306"/>
    </row>
    <row r="24" spans="1:18" s="2" customFormat="1" ht="15.75">
      <c r="A24" s="8"/>
      <c r="B24" s="7" t="s">
        <v>27</v>
      </c>
      <c r="C24" s="27"/>
      <c r="D24" s="27"/>
      <c r="E24" s="28"/>
      <c r="F24" s="28"/>
      <c r="G24" s="28"/>
      <c r="H24" s="28"/>
      <c r="I24" s="29">
        <f t="shared" ref="I24:N24" si="0">SUM(I16:I23)</f>
        <v>6177913</v>
      </c>
      <c r="J24" s="29">
        <f t="shared" si="0"/>
        <v>746513</v>
      </c>
      <c r="K24" s="29">
        <f t="shared" si="0"/>
        <v>6314076</v>
      </c>
      <c r="L24" s="29">
        <f t="shared" si="0"/>
        <v>116082</v>
      </c>
      <c r="M24" s="244">
        <f t="shared" si="0"/>
        <v>6420089</v>
      </c>
      <c r="N24" s="244">
        <f t="shared" si="0"/>
        <v>297122</v>
      </c>
      <c r="O24" s="305"/>
      <c r="P24" s="262"/>
      <c r="Q24" s="28"/>
      <c r="R24" s="261"/>
    </row>
    <row r="25" spans="1:18" s="2" customFormat="1" ht="15">
      <c r="A25" s="8"/>
      <c r="B25" s="8"/>
      <c r="C25" s="27"/>
      <c r="D25" s="27"/>
      <c r="E25" s="28"/>
      <c r="F25" s="28"/>
      <c r="G25" s="28"/>
      <c r="H25" s="28"/>
      <c r="I25" s="27"/>
      <c r="J25" s="27"/>
      <c r="K25" s="27"/>
      <c r="L25" s="27"/>
      <c r="M25" s="89"/>
      <c r="N25" s="89"/>
    </row>
    <row r="26" spans="1:18" s="2" customFormat="1" ht="15">
      <c r="A26" s="8"/>
      <c r="B26" s="8" t="s">
        <v>1192</v>
      </c>
      <c r="C26" s="8" t="s">
        <v>1181</v>
      </c>
      <c r="D26" s="27"/>
      <c r="E26" s="28"/>
      <c r="F26" s="28"/>
      <c r="G26" s="28"/>
      <c r="H26" s="28"/>
      <c r="I26" s="27">
        <f>40581+1999065+4869</f>
        <v>2044515</v>
      </c>
      <c r="J26" s="27"/>
      <c r="K26" s="27">
        <f>2039646+44955</f>
        <v>2084601</v>
      </c>
      <c r="L26" s="27"/>
      <c r="M26" s="89">
        <f>5394+4200+44955+2039646</f>
        <v>2094195</v>
      </c>
      <c r="N26" s="89"/>
    </row>
    <row r="27" spans="1:18" s="2" customFormat="1" ht="15">
      <c r="A27" s="8"/>
      <c r="B27" s="8" t="s">
        <v>1193</v>
      </c>
      <c r="C27" s="8"/>
      <c r="D27" s="27"/>
      <c r="E27" s="28"/>
      <c r="F27" s="28"/>
      <c r="G27" s="28"/>
      <c r="H27" s="28"/>
      <c r="I27" s="33">
        <f>239862</f>
        <v>239862</v>
      </c>
      <c r="J27" s="33"/>
      <c r="K27" s="33">
        <f>244731+5394</f>
        <v>250125</v>
      </c>
      <c r="L27" s="33"/>
      <c r="M27" s="306">
        <f>244731+35000</f>
        <v>279731</v>
      </c>
      <c r="N27" s="306"/>
    </row>
    <row r="28" spans="1:18" s="2" customFormat="1" ht="15.75">
      <c r="A28" s="8"/>
      <c r="B28" s="7" t="s">
        <v>1194</v>
      </c>
      <c r="C28" s="27">
        <v>24839.38</v>
      </c>
      <c r="D28" s="27"/>
      <c r="E28" s="28"/>
      <c r="F28" s="28"/>
      <c r="G28" s="28"/>
      <c r="H28" s="28"/>
      <c r="I28" s="29">
        <f>SUM(I26:I27)</f>
        <v>2284377</v>
      </c>
      <c r="J28" s="29">
        <f t="shared" ref="J28" si="1">SUM(J26:J27)</f>
        <v>0</v>
      </c>
      <c r="K28" s="29">
        <f>SUM(K26:K27)</f>
        <v>2334726</v>
      </c>
      <c r="L28" s="29"/>
      <c r="M28" s="244">
        <f>SUM(M26:M27)</f>
        <v>2373926</v>
      </c>
      <c r="N28" s="244"/>
    </row>
    <row r="29" spans="1:18" s="2" customFormat="1" ht="15">
      <c r="A29" s="8"/>
      <c r="B29" s="8"/>
      <c r="C29" s="27"/>
      <c r="D29" s="27"/>
      <c r="E29" s="28"/>
      <c r="F29" s="28"/>
      <c r="G29" s="28"/>
      <c r="H29" s="28"/>
      <c r="I29" s="27"/>
      <c r="J29" s="27"/>
      <c r="K29" s="27"/>
      <c r="L29" s="27"/>
      <c r="M29" s="89"/>
      <c r="N29" s="89"/>
    </row>
    <row r="30" spans="1:18" s="2" customFormat="1" ht="15.75">
      <c r="A30" s="8"/>
      <c r="B30" s="8" t="s">
        <v>1195</v>
      </c>
      <c r="C30" s="8" t="s">
        <v>1181</v>
      </c>
      <c r="D30" s="27"/>
      <c r="E30" s="28"/>
      <c r="F30" s="28"/>
      <c r="G30" s="28"/>
      <c r="H30" s="28"/>
      <c r="I30" s="29">
        <f>1384741+28110</f>
        <v>1412851</v>
      </c>
      <c r="J30" s="29"/>
      <c r="K30" s="29">
        <f>1412851+31140</f>
        <v>1443991</v>
      </c>
      <c r="L30" s="29"/>
      <c r="M30" s="244">
        <f>1412851+24245+31140</f>
        <v>1468236</v>
      </c>
      <c r="N30" s="244"/>
    </row>
    <row r="31" spans="1:18" s="2" customFormat="1" ht="15.75">
      <c r="A31" s="8"/>
      <c r="B31" s="8"/>
      <c r="C31" s="27"/>
      <c r="D31" s="27"/>
      <c r="E31" s="28"/>
      <c r="F31" s="28"/>
      <c r="G31" s="28"/>
      <c r="H31" s="28"/>
      <c r="I31" s="29"/>
      <c r="J31" s="29"/>
      <c r="K31" s="29"/>
      <c r="L31" s="29"/>
      <c r="M31" s="244"/>
      <c r="N31" s="244"/>
    </row>
    <row r="32" spans="1:18" s="2" customFormat="1" ht="15.75">
      <c r="A32" s="8"/>
      <c r="B32" s="8" t="s">
        <v>1196</v>
      </c>
      <c r="C32" s="8" t="s">
        <v>1181</v>
      </c>
      <c r="D32" s="27"/>
      <c r="E32" s="28"/>
      <c r="F32" s="28"/>
      <c r="G32" s="28"/>
      <c r="H32" s="28"/>
      <c r="I32" s="29">
        <f>242293+4919</f>
        <v>247212</v>
      </c>
      <c r="J32" s="29">
        <v>70400</v>
      </c>
      <c r="K32" s="29">
        <f>247212+5449</f>
        <v>252661</v>
      </c>
      <c r="L32" s="29"/>
      <c r="M32" s="244">
        <f>4242+5449+247212</f>
        <v>256903</v>
      </c>
      <c r="N32" s="244"/>
    </row>
    <row r="33" spans="1:14" s="2" customFormat="1" ht="15.75">
      <c r="A33" s="8"/>
      <c r="B33" s="8"/>
      <c r="C33" s="27"/>
      <c r="D33" s="27"/>
      <c r="E33" s="28"/>
      <c r="F33" s="28"/>
      <c r="G33" s="28"/>
      <c r="H33" s="28"/>
      <c r="I33" s="29"/>
      <c r="J33" s="29"/>
      <c r="K33" s="29"/>
      <c r="L33" s="29"/>
      <c r="M33" s="244"/>
      <c r="N33" s="244"/>
    </row>
    <row r="34" spans="1:14" s="2" customFormat="1" ht="15.75">
      <c r="A34" s="8"/>
      <c r="B34" s="8" t="s">
        <v>1197</v>
      </c>
      <c r="C34" s="8" t="s">
        <v>1181</v>
      </c>
      <c r="D34" s="27"/>
      <c r="E34" s="28"/>
      <c r="F34" s="28"/>
      <c r="G34" s="28"/>
      <c r="H34" s="28"/>
      <c r="I34" s="29"/>
      <c r="J34" s="29">
        <f>490074+14000+590294.34</f>
        <v>1094368.3399999999</v>
      </c>
      <c r="K34" s="29"/>
      <c r="L34" s="29">
        <v>490074</v>
      </c>
      <c r="M34" s="244"/>
      <c r="N34" s="244">
        <v>490074</v>
      </c>
    </row>
    <row r="35" spans="1:14" s="2" customFormat="1" ht="15">
      <c r="A35" s="8"/>
      <c r="B35" s="8"/>
      <c r="C35" s="27"/>
      <c r="D35" s="27"/>
      <c r="E35" s="28"/>
      <c r="F35" s="28"/>
      <c r="G35" s="28"/>
      <c r="H35" s="28"/>
      <c r="I35" s="27"/>
      <c r="J35" s="27"/>
      <c r="K35" s="27"/>
      <c r="L35" s="27"/>
      <c r="M35" s="89"/>
      <c r="N35" s="89"/>
    </row>
    <row r="36" spans="1:14" s="2" customFormat="1" ht="15.75">
      <c r="A36" s="8"/>
      <c r="B36" s="25" t="s">
        <v>45</v>
      </c>
      <c r="C36" s="27"/>
      <c r="D36" s="27"/>
      <c r="E36" s="28"/>
      <c r="F36" s="29">
        <f>SUM(C36:E36)</f>
        <v>0</v>
      </c>
      <c r="G36" s="28"/>
      <c r="H36" s="28"/>
      <c r="I36" s="32">
        <f>I6+I8+I10+I12+I14+I24+I28+I30+I32+I34</f>
        <v>14788214</v>
      </c>
      <c r="J36" s="32">
        <f t="shared" ref="J36" si="2">J6+J8+J10+J12+J14+J24+J28+J30+J32+J34</f>
        <v>2151756.34</v>
      </c>
      <c r="K36" s="32">
        <f>K6+K8+K10+K12+K14+K24+K28+K30+K32+K34</f>
        <v>15154628</v>
      </c>
      <c r="L36" s="32">
        <f t="shared" ref="L36:N36" si="3">L6+L8+L10+L12+L14+L24+L28+L30+L32+L34</f>
        <v>806156</v>
      </c>
      <c r="M36" s="307">
        <f>M6+M8+M10+M12+M24+M28+M30+M32+M34+M14</f>
        <v>15409076</v>
      </c>
      <c r="N36" s="307">
        <f t="shared" si="3"/>
        <v>987196</v>
      </c>
    </row>
    <row r="37" spans="1:14" s="2" customFormat="1" ht="15">
      <c r="A37" s="8"/>
      <c r="B37" s="8"/>
      <c r="C37" s="27"/>
      <c r="D37" s="27"/>
      <c r="E37" s="28"/>
      <c r="F37" s="27" t="s">
        <v>28</v>
      </c>
      <c r="G37" s="28"/>
      <c r="H37" s="28"/>
      <c r="I37" s="27"/>
      <c r="J37" s="27"/>
      <c r="K37" s="27"/>
      <c r="L37" s="27"/>
      <c r="M37" s="89"/>
      <c r="N37" s="89"/>
    </row>
    <row r="38" spans="1:14" ht="15">
      <c r="A38" s="8"/>
      <c r="B38" s="8" t="s">
        <v>1198</v>
      </c>
      <c r="C38" s="8"/>
      <c r="D38" s="8"/>
      <c r="I38" s="27">
        <f>I36+J36</f>
        <v>16939970.34</v>
      </c>
      <c r="J38" s="127"/>
      <c r="K38" s="27">
        <f>K36+L36</f>
        <v>15960784</v>
      </c>
      <c r="L38" s="8"/>
      <c r="M38" s="89">
        <f>M36+N36</f>
        <v>16396272</v>
      </c>
      <c r="N38" s="85"/>
    </row>
    <row r="39" spans="1:14" ht="15">
      <c r="A39" s="8"/>
      <c r="B39" s="8" t="s">
        <v>1199</v>
      </c>
      <c r="C39" s="8"/>
      <c r="D39" s="8"/>
      <c r="I39" s="128">
        <f>16939970.34</f>
        <v>16939970.34</v>
      </c>
      <c r="J39" s="8"/>
      <c r="K39" s="129">
        <v>15960784</v>
      </c>
      <c r="L39" s="8"/>
      <c r="M39" s="308">
        <v>16396272</v>
      </c>
      <c r="N39" s="85"/>
    </row>
    <row r="40" spans="1:14" ht="15.75" thickBot="1">
      <c r="A40" s="8"/>
      <c r="C40" s="8"/>
      <c r="D40" s="8"/>
      <c r="I40" s="130">
        <f>I38-I39</f>
        <v>0</v>
      </c>
      <c r="J40" s="8"/>
      <c r="K40" s="130">
        <f>K38-K39</f>
        <v>0</v>
      </c>
      <c r="L40" s="8"/>
      <c r="M40" s="309">
        <f>M38-M39</f>
        <v>0</v>
      </c>
      <c r="N40" s="85"/>
    </row>
    <row r="41" spans="1:14" ht="15.75" thickTop="1">
      <c r="B41" s="8"/>
      <c r="C41" s="8"/>
      <c r="D41" s="8"/>
      <c r="I41" s="8"/>
      <c r="J41" s="8"/>
      <c r="K41" s="8"/>
      <c r="L41" s="8"/>
      <c r="M41" s="8"/>
      <c r="N41" s="8"/>
    </row>
    <row r="42" spans="1:14" ht="15">
      <c r="I42" s="8"/>
      <c r="J42" s="8"/>
      <c r="K42" s="8"/>
      <c r="L42" s="8"/>
      <c r="M42" s="27"/>
      <c r="N42" s="8"/>
    </row>
    <row r="43" spans="1:14" ht="15">
      <c r="I43" s="8"/>
      <c r="J43" s="8"/>
      <c r="K43" s="8"/>
      <c r="L43" s="8"/>
      <c r="M43" s="8"/>
      <c r="N43" s="8"/>
    </row>
    <row r="44" spans="1:14" ht="15">
      <c r="I44" s="8"/>
      <c r="J44" s="8"/>
      <c r="K44" s="8"/>
      <c r="L44" s="8"/>
      <c r="M44" s="8"/>
      <c r="N44" s="8"/>
    </row>
    <row r="45" spans="1:14" ht="15">
      <c r="I45" s="8"/>
      <c r="J45" s="8"/>
      <c r="K45" s="8"/>
      <c r="L45" s="8"/>
      <c r="M45" s="8"/>
      <c r="N45" s="8"/>
    </row>
    <row r="46" spans="1:14" ht="15">
      <c r="I46" s="8"/>
      <c r="J46" s="8"/>
      <c r="K46" s="8"/>
      <c r="L46" s="8"/>
      <c r="M46" s="8"/>
      <c r="N46" s="8"/>
    </row>
    <row r="47" spans="1:14" ht="15">
      <c r="I47" s="8"/>
      <c r="J47" s="8"/>
      <c r="K47" s="8"/>
      <c r="L47" s="8"/>
      <c r="M47" s="8"/>
      <c r="N47" s="8"/>
    </row>
    <row r="48" spans="1:14" ht="15">
      <c r="I48" s="8"/>
      <c r="J48" s="8"/>
      <c r="K48" s="8"/>
      <c r="L48" s="8"/>
      <c r="M48" s="8"/>
      <c r="N48" s="8"/>
    </row>
    <row r="49" spans="9:14" ht="15">
      <c r="I49" s="8"/>
      <c r="J49" s="8"/>
      <c r="K49" s="8"/>
      <c r="L49" s="8"/>
      <c r="M49" s="8"/>
      <c r="N49" s="8"/>
    </row>
    <row r="50" spans="9:14" ht="15">
      <c r="I50" s="8"/>
      <c r="J50" s="8"/>
      <c r="K50" s="8"/>
      <c r="L50" s="8"/>
      <c r="M50" s="8"/>
      <c r="N50" s="8"/>
    </row>
    <row r="51" spans="9:14" ht="15">
      <c r="I51" s="8"/>
      <c r="J51" s="8"/>
      <c r="K51" s="8"/>
      <c r="L51" s="8"/>
      <c r="M51" s="8"/>
      <c r="N51" s="8"/>
    </row>
  </sheetData>
  <pageMargins left="0.7" right="0.7" top="0.75" bottom="0.75" header="0.3" footer="0.3"/>
  <pageSetup scale="84" orientation="portrait" horizontalDpi="4294967293" vertic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3"/>
  <sheetViews>
    <sheetView zoomScale="150" zoomScaleNormal="150" workbookViewId="0">
      <selection activeCell="A169" sqref="A169"/>
    </sheetView>
  </sheetViews>
  <sheetFormatPr defaultRowHeight="12.75"/>
  <cols>
    <col min="1" max="1" width="37" customWidth="1"/>
    <col min="2" max="3" width="17.5703125" customWidth="1"/>
    <col min="4" max="4" width="15.7109375" customWidth="1"/>
    <col min="5" max="5" width="9" customWidth="1"/>
    <col min="257" max="257" width="37" customWidth="1"/>
    <col min="258" max="259" width="17.5703125" customWidth="1"/>
    <col min="260" max="260" width="15.7109375" customWidth="1"/>
    <col min="261" max="261" width="9" customWidth="1"/>
    <col min="513" max="513" width="37" customWidth="1"/>
    <col min="514" max="515" width="17.5703125" customWidth="1"/>
    <col min="516" max="516" width="15.7109375" customWidth="1"/>
    <col min="517" max="517" width="9" customWidth="1"/>
    <col min="769" max="769" width="37" customWidth="1"/>
    <col min="770" max="771" width="17.5703125" customWidth="1"/>
    <col min="772" max="772" width="15.7109375" customWidth="1"/>
    <col min="773" max="773" width="9" customWidth="1"/>
    <col min="1025" max="1025" width="37" customWidth="1"/>
    <col min="1026" max="1027" width="17.5703125" customWidth="1"/>
    <col min="1028" max="1028" width="15.7109375" customWidth="1"/>
    <col min="1029" max="1029" width="9" customWidth="1"/>
    <col min="1281" max="1281" width="37" customWidth="1"/>
    <col min="1282" max="1283" width="17.5703125" customWidth="1"/>
    <col min="1284" max="1284" width="15.7109375" customWidth="1"/>
    <col min="1285" max="1285" width="9" customWidth="1"/>
    <col min="1537" max="1537" width="37" customWidth="1"/>
    <col min="1538" max="1539" width="17.5703125" customWidth="1"/>
    <col min="1540" max="1540" width="15.7109375" customWidth="1"/>
    <col min="1541" max="1541" width="9" customWidth="1"/>
    <col min="1793" max="1793" width="37" customWidth="1"/>
    <col min="1794" max="1795" width="17.5703125" customWidth="1"/>
    <col min="1796" max="1796" width="15.7109375" customWidth="1"/>
    <col min="1797" max="1797" width="9" customWidth="1"/>
    <col min="2049" max="2049" width="37" customWidth="1"/>
    <col min="2050" max="2051" width="17.5703125" customWidth="1"/>
    <col min="2052" max="2052" width="15.7109375" customWidth="1"/>
    <col min="2053" max="2053" width="9" customWidth="1"/>
    <col min="2305" max="2305" width="37" customWidth="1"/>
    <col min="2306" max="2307" width="17.5703125" customWidth="1"/>
    <col min="2308" max="2308" width="15.7109375" customWidth="1"/>
    <col min="2309" max="2309" width="9" customWidth="1"/>
    <col min="2561" max="2561" width="37" customWidth="1"/>
    <col min="2562" max="2563" width="17.5703125" customWidth="1"/>
    <col min="2564" max="2564" width="15.7109375" customWidth="1"/>
    <col min="2565" max="2565" width="9" customWidth="1"/>
    <col min="2817" max="2817" width="37" customWidth="1"/>
    <col min="2818" max="2819" width="17.5703125" customWidth="1"/>
    <col min="2820" max="2820" width="15.7109375" customWidth="1"/>
    <col min="2821" max="2821" width="9" customWidth="1"/>
    <col min="3073" max="3073" width="37" customWidth="1"/>
    <col min="3074" max="3075" width="17.5703125" customWidth="1"/>
    <col min="3076" max="3076" width="15.7109375" customWidth="1"/>
    <col min="3077" max="3077" width="9" customWidth="1"/>
    <col min="3329" max="3329" width="37" customWidth="1"/>
    <col min="3330" max="3331" width="17.5703125" customWidth="1"/>
    <col min="3332" max="3332" width="15.7109375" customWidth="1"/>
    <col min="3333" max="3333" width="9" customWidth="1"/>
    <col min="3585" max="3585" width="37" customWidth="1"/>
    <col min="3586" max="3587" width="17.5703125" customWidth="1"/>
    <col min="3588" max="3588" width="15.7109375" customWidth="1"/>
    <col min="3589" max="3589" width="9" customWidth="1"/>
    <col min="3841" max="3841" width="37" customWidth="1"/>
    <col min="3842" max="3843" width="17.5703125" customWidth="1"/>
    <col min="3844" max="3844" width="15.7109375" customWidth="1"/>
    <col min="3845" max="3845" width="9" customWidth="1"/>
    <col min="4097" max="4097" width="37" customWidth="1"/>
    <col min="4098" max="4099" width="17.5703125" customWidth="1"/>
    <col min="4100" max="4100" width="15.7109375" customWidth="1"/>
    <col min="4101" max="4101" width="9" customWidth="1"/>
    <col min="4353" max="4353" width="37" customWidth="1"/>
    <col min="4354" max="4355" width="17.5703125" customWidth="1"/>
    <col min="4356" max="4356" width="15.7109375" customWidth="1"/>
    <col min="4357" max="4357" width="9" customWidth="1"/>
    <col min="4609" max="4609" width="37" customWidth="1"/>
    <col min="4610" max="4611" width="17.5703125" customWidth="1"/>
    <col min="4612" max="4612" width="15.7109375" customWidth="1"/>
    <col min="4613" max="4613" width="9" customWidth="1"/>
    <col min="4865" max="4865" width="37" customWidth="1"/>
    <col min="4866" max="4867" width="17.5703125" customWidth="1"/>
    <col min="4868" max="4868" width="15.7109375" customWidth="1"/>
    <col min="4869" max="4869" width="9" customWidth="1"/>
    <col min="5121" max="5121" width="37" customWidth="1"/>
    <col min="5122" max="5123" width="17.5703125" customWidth="1"/>
    <col min="5124" max="5124" width="15.7109375" customWidth="1"/>
    <col min="5125" max="5125" width="9" customWidth="1"/>
    <col min="5377" max="5377" width="37" customWidth="1"/>
    <col min="5378" max="5379" width="17.5703125" customWidth="1"/>
    <col min="5380" max="5380" width="15.7109375" customWidth="1"/>
    <col min="5381" max="5381" width="9" customWidth="1"/>
    <col min="5633" max="5633" width="37" customWidth="1"/>
    <col min="5634" max="5635" width="17.5703125" customWidth="1"/>
    <col min="5636" max="5636" width="15.7109375" customWidth="1"/>
    <col min="5637" max="5637" width="9" customWidth="1"/>
    <col min="5889" max="5889" width="37" customWidth="1"/>
    <col min="5890" max="5891" width="17.5703125" customWidth="1"/>
    <col min="5892" max="5892" width="15.7109375" customWidth="1"/>
    <col min="5893" max="5893" width="9" customWidth="1"/>
    <col min="6145" max="6145" width="37" customWidth="1"/>
    <col min="6146" max="6147" width="17.5703125" customWidth="1"/>
    <col min="6148" max="6148" width="15.7109375" customWidth="1"/>
    <col min="6149" max="6149" width="9" customWidth="1"/>
    <col min="6401" max="6401" width="37" customWidth="1"/>
    <col min="6402" max="6403" width="17.5703125" customWidth="1"/>
    <col min="6404" max="6404" width="15.7109375" customWidth="1"/>
    <col min="6405" max="6405" width="9" customWidth="1"/>
    <col min="6657" max="6657" width="37" customWidth="1"/>
    <col min="6658" max="6659" width="17.5703125" customWidth="1"/>
    <col min="6660" max="6660" width="15.7109375" customWidth="1"/>
    <col min="6661" max="6661" width="9" customWidth="1"/>
    <col min="6913" max="6913" width="37" customWidth="1"/>
    <col min="6914" max="6915" width="17.5703125" customWidth="1"/>
    <col min="6916" max="6916" width="15.7109375" customWidth="1"/>
    <col min="6917" max="6917" width="9" customWidth="1"/>
    <col min="7169" max="7169" width="37" customWidth="1"/>
    <col min="7170" max="7171" width="17.5703125" customWidth="1"/>
    <col min="7172" max="7172" width="15.7109375" customWidth="1"/>
    <col min="7173" max="7173" width="9" customWidth="1"/>
    <col min="7425" max="7425" width="37" customWidth="1"/>
    <col min="7426" max="7427" width="17.5703125" customWidth="1"/>
    <col min="7428" max="7428" width="15.7109375" customWidth="1"/>
    <col min="7429" max="7429" width="9" customWidth="1"/>
    <col min="7681" max="7681" width="37" customWidth="1"/>
    <col min="7682" max="7683" width="17.5703125" customWidth="1"/>
    <col min="7684" max="7684" width="15.7109375" customWidth="1"/>
    <col min="7685" max="7685" width="9" customWidth="1"/>
    <col min="7937" max="7937" width="37" customWidth="1"/>
    <col min="7938" max="7939" width="17.5703125" customWidth="1"/>
    <col min="7940" max="7940" width="15.7109375" customWidth="1"/>
    <col min="7941" max="7941" width="9" customWidth="1"/>
    <col min="8193" max="8193" width="37" customWidth="1"/>
    <col min="8194" max="8195" width="17.5703125" customWidth="1"/>
    <col min="8196" max="8196" width="15.7109375" customWidth="1"/>
    <col min="8197" max="8197" width="9" customWidth="1"/>
    <col min="8449" max="8449" width="37" customWidth="1"/>
    <col min="8450" max="8451" width="17.5703125" customWidth="1"/>
    <col min="8452" max="8452" width="15.7109375" customWidth="1"/>
    <col min="8453" max="8453" width="9" customWidth="1"/>
    <col min="8705" max="8705" width="37" customWidth="1"/>
    <col min="8706" max="8707" width="17.5703125" customWidth="1"/>
    <col min="8708" max="8708" width="15.7109375" customWidth="1"/>
    <col min="8709" max="8709" width="9" customWidth="1"/>
    <col min="8961" max="8961" width="37" customWidth="1"/>
    <col min="8962" max="8963" width="17.5703125" customWidth="1"/>
    <col min="8964" max="8964" width="15.7109375" customWidth="1"/>
    <col min="8965" max="8965" width="9" customWidth="1"/>
    <col min="9217" max="9217" width="37" customWidth="1"/>
    <col min="9218" max="9219" width="17.5703125" customWidth="1"/>
    <col min="9220" max="9220" width="15.7109375" customWidth="1"/>
    <col min="9221" max="9221" width="9" customWidth="1"/>
    <col min="9473" max="9473" width="37" customWidth="1"/>
    <col min="9474" max="9475" width="17.5703125" customWidth="1"/>
    <col min="9476" max="9476" width="15.7109375" customWidth="1"/>
    <col min="9477" max="9477" width="9" customWidth="1"/>
    <col min="9729" max="9729" width="37" customWidth="1"/>
    <col min="9730" max="9731" width="17.5703125" customWidth="1"/>
    <col min="9732" max="9732" width="15.7109375" customWidth="1"/>
    <col min="9733" max="9733" width="9" customWidth="1"/>
    <col min="9985" max="9985" width="37" customWidth="1"/>
    <col min="9986" max="9987" width="17.5703125" customWidth="1"/>
    <col min="9988" max="9988" width="15.7109375" customWidth="1"/>
    <col min="9989" max="9989" width="9" customWidth="1"/>
    <col min="10241" max="10241" width="37" customWidth="1"/>
    <col min="10242" max="10243" width="17.5703125" customWidth="1"/>
    <col min="10244" max="10244" width="15.7109375" customWidth="1"/>
    <col min="10245" max="10245" width="9" customWidth="1"/>
    <col min="10497" max="10497" width="37" customWidth="1"/>
    <col min="10498" max="10499" width="17.5703125" customWidth="1"/>
    <col min="10500" max="10500" width="15.7109375" customWidth="1"/>
    <col min="10501" max="10501" width="9" customWidth="1"/>
    <col min="10753" max="10753" width="37" customWidth="1"/>
    <col min="10754" max="10755" width="17.5703125" customWidth="1"/>
    <col min="10756" max="10756" width="15.7109375" customWidth="1"/>
    <col min="10757" max="10757" width="9" customWidth="1"/>
    <col min="11009" max="11009" width="37" customWidth="1"/>
    <col min="11010" max="11011" width="17.5703125" customWidth="1"/>
    <col min="11012" max="11012" width="15.7109375" customWidth="1"/>
    <col min="11013" max="11013" width="9" customWidth="1"/>
    <col min="11265" max="11265" width="37" customWidth="1"/>
    <col min="11266" max="11267" width="17.5703125" customWidth="1"/>
    <col min="11268" max="11268" width="15.7109375" customWidth="1"/>
    <col min="11269" max="11269" width="9" customWidth="1"/>
    <col min="11521" max="11521" width="37" customWidth="1"/>
    <col min="11522" max="11523" width="17.5703125" customWidth="1"/>
    <col min="11524" max="11524" width="15.7109375" customWidth="1"/>
    <col min="11525" max="11525" width="9" customWidth="1"/>
    <col min="11777" max="11777" width="37" customWidth="1"/>
    <col min="11778" max="11779" width="17.5703125" customWidth="1"/>
    <col min="11780" max="11780" width="15.7109375" customWidth="1"/>
    <col min="11781" max="11781" width="9" customWidth="1"/>
    <col min="12033" max="12033" width="37" customWidth="1"/>
    <col min="12034" max="12035" width="17.5703125" customWidth="1"/>
    <col min="12036" max="12036" width="15.7109375" customWidth="1"/>
    <col min="12037" max="12037" width="9" customWidth="1"/>
    <col min="12289" max="12289" width="37" customWidth="1"/>
    <col min="12290" max="12291" width="17.5703125" customWidth="1"/>
    <col min="12292" max="12292" width="15.7109375" customWidth="1"/>
    <col min="12293" max="12293" width="9" customWidth="1"/>
    <col min="12545" max="12545" width="37" customWidth="1"/>
    <col min="12546" max="12547" width="17.5703125" customWidth="1"/>
    <col min="12548" max="12548" width="15.7109375" customWidth="1"/>
    <col min="12549" max="12549" width="9" customWidth="1"/>
    <col min="12801" max="12801" width="37" customWidth="1"/>
    <col min="12802" max="12803" width="17.5703125" customWidth="1"/>
    <col min="12804" max="12804" width="15.7109375" customWidth="1"/>
    <col min="12805" max="12805" width="9" customWidth="1"/>
    <col min="13057" max="13057" width="37" customWidth="1"/>
    <col min="13058" max="13059" width="17.5703125" customWidth="1"/>
    <col min="13060" max="13060" width="15.7109375" customWidth="1"/>
    <col min="13061" max="13061" width="9" customWidth="1"/>
    <col min="13313" max="13313" width="37" customWidth="1"/>
    <col min="13314" max="13315" width="17.5703125" customWidth="1"/>
    <col min="13316" max="13316" width="15.7109375" customWidth="1"/>
    <col min="13317" max="13317" width="9" customWidth="1"/>
    <col min="13569" max="13569" width="37" customWidth="1"/>
    <col min="13570" max="13571" width="17.5703125" customWidth="1"/>
    <col min="13572" max="13572" width="15.7109375" customWidth="1"/>
    <col min="13573" max="13573" width="9" customWidth="1"/>
    <col min="13825" max="13825" width="37" customWidth="1"/>
    <col min="13826" max="13827" width="17.5703125" customWidth="1"/>
    <col min="13828" max="13828" width="15.7109375" customWidth="1"/>
    <col min="13829" max="13829" width="9" customWidth="1"/>
    <col min="14081" max="14081" width="37" customWidth="1"/>
    <col min="14082" max="14083" width="17.5703125" customWidth="1"/>
    <col min="14084" max="14084" width="15.7109375" customWidth="1"/>
    <col min="14085" max="14085" width="9" customWidth="1"/>
    <col min="14337" max="14337" width="37" customWidth="1"/>
    <col min="14338" max="14339" width="17.5703125" customWidth="1"/>
    <col min="14340" max="14340" width="15.7109375" customWidth="1"/>
    <col min="14341" max="14341" width="9" customWidth="1"/>
    <col min="14593" max="14593" width="37" customWidth="1"/>
    <col min="14594" max="14595" width="17.5703125" customWidth="1"/>
    <col min="14596" max="14596" width="15.7109375" customWidth="1"/>
    <col min="14597" max="14597" width="9" customWidth="1"/>
    <col min="14849" max="14849" width="37" customWidth="1"/>
    <col min="14850" max="14851" width="17.5703125" customWidth="1"/>
    <col min="14852" max="14852" width="15.7109375" customWidth="1"/>
    <col min="14853" max="14853" width="9" customWidth="1"/>
    <col min="15105" max="15105" width="37" customWidth="1"/>
    <col min="15106" max="15107" width="17.5703125" customWidth="1"/>
    <col min="15108" max="15108" width="15.7109375" customWidth="1"/>
    <col min="15109" max="15109" width="9" customWidth="1"/>
    <col min="15361" max="15361" width="37" customWidth="1"/>
    <col min="15362" max="15363" width="17.5703125" customWidth="1"/>
    <col min="15364" max="15364" width="15.7109375" customWidth="1"/>
    <col min="15365" max="15365" width="9" customWidth="1"/>
    <col min="15617" max="15617" width="37" customWidth="1"/>
    <col min="15618" max="15619" width="17.5703125" customWidth="1"/>
    <col min="15620" max="15620" width="15.7109375" customWidth="1"/>
    <col min="15621" max="15621" width="9" customWidth="1"/>
    <col min="15873" max="15873" width="37" customWidth="1"/>
    <col min="15874" max="15875" width="17.5703125" customWidth="1"/>
    <col min="15876" max="15876" width="15.7109375" customWidth="1"/>
    <col min="15877" max="15877" width="9" customWidth="1"/>
    <col min="16129" max="16129" width="37" customWidth="1"/>
    <col min="16130" max="16131" width="17.5703125" customWidth="1"/>
    <col min="16132" max="16132" width="15.7109375" customWidth="1"/>
    <col min="16133" max="16133" width="9" customWidth="1"/>
  </cols>
  <sheetData>
    <row r="1" spans="1:4" ht="24.6" customHeight="1">
      <c r="A1" s="270" t="s">
        <v>1098</v>
      </c>
      <c r="B1" s="271" t="s">
        <v>1739</v>
      </c>
      <c r="C1" s="271" t="s">
        <v>1099</v>
      </c>
      <c r="D1" s="271" t="s">
        <v>1740</v>
      </c>
    </row>
    <row r="2" spans="1:4">
      <c r="A2" s="84" t="s">
        <v>1861</v>
      </c>
      <c r="B2" s="95">
        <f>'Fund Distributions'!K10</f>
        <v>5660964.2999999998</v>
      </c>
      <c r="C2" s="95">
        <v>5660964</v>
      </c>
      <c r="D2" s="272">
        <v>5522892</v>
      </c>
    </row>
    <row r="3" spans="1:4">
      <c r="A3" s="84" t="s">
        <v>1862</v>
      </c>
      <c r="B3" s="95">
        <v>70000</v>
      </c>
      <c r="C3" s="95">
        <v>107348.02</v>
      </c>
      <c r="D3" s="272">
        <v>133554.42000000001</v>
      </c>
    </row>
    <row r="4" spans="1:4">
      <c r="A4" s="2" t="s">
        <v>1100</v>
      </c>
      <c r="B4" s="95">
        <v>32398</v>
      </c>
      <c r="C4" s="95">
        <v>32398</v>
      </c>
      <c r="D4" s="272">
        <v>31343.94</v>
      </c>
    </row>
    <row r="5" spans="1:4">
      <c r="A5" s="2" t="s">
        <v>1741</v>
      </c>
      <c r="B5" s="95">
        <v>0</v>
      </c>
      <c r="C5" s="95">
        <v>31210</v>
      </c>
      <c r="D5" s="272">
        <v>0</v>
      </c>
    </row>
    <row r="6" spans="1:4">
      <c r="A6" t="s">
        <v>1101</v>
      </c>
      <c r="B6" s="95">
        <v>990407</v>
      </c>
      <c r="C6" s="95">
        <v>990407</v>
      </c>
      <c r="D6" s="272">
        <v>465362</v>
      </c>
    </row>
    <row r="7" spans="1:4">
      <c r="A7" s="2" t="s">
        <v>1104</v>
      </c>
      <c r="B7" s="96">
        <v>120000</v>
      </c>
      <c r="C7" s="96">
        <v>120000</v>
      </c>
      <c r="D7" s="272">
        <v>120000</v>
      </c>
    </row>
    <row r="8" spans="1:4">
      <c r="A8" t="s">
        <v>1742</v>
      </c>
      <c r="B8" s="95">
        <v>283645</v>
      </c>
      <c r="C8" s="95">
        <v>283645</v>
      </c>
      <c r="D8" s="272">
        <v>0</v>
      </c>
    </row>
    <row r="9" spans="1:4">
      <c r="A9" t="s">
        <v>1102</v>
      </c>
      <c r="B9" s="95">
        <v>95000</v>
      </c>
      <c r="C9" s="95">
        <v>95000</v>
      </c>
      <c r="D9" s="272">
        <v>95820.36</v>
      </c>
    </row>
    <row r="10" spans="1:4">
      <c r="A10" s="2" t="s">
        <v>1743</v>
      </c>
      <c r="B10" s="96">
        <v>75044</v>
      </c>
      <c r="C10" s="96">
        <v>71344</v>
      </c>
      <c r="D10" s="272">
        <v>65372.5</v>
      </c>
    </row>
    <row r="11" spans="1:4">
      <c r="A11" t="s">
        <v>1103</v>
      </c>
      <c r="B11" s="96">
        <v>8000</v>
      </c>
      <c r="C11" s="96">
        <v>9235.4500000000007</v>
      </c>
      <c r="D11" s="272">
        <v>10847.78</v>
      </c>
    </row>
    <row r="12" spans="1:4">
      <c r="A12" s="2" t="s">
        <v>1106</v>
      </c>
      <c r="B12" s="96">
        <v>0</v>
      </c>
      <c r="C12" s="96">
        <v>0</v>
      </c>
      <c r="D12" s="272">
        <v>720</v>
      </c>
    </row>
    <row r="13" spans="1:4">
      <c r="A13" s="2" t="s">
        <v>1105</v>
      </c>
      <c r="B13" s="96">
        <v>0</v>
      </c>
      <c r="C13" s="96">
        <v>0</v>
      </c>
      <c r="D13" s="272">
        <v>2712.31</v>
      </c>
    </row>
    <row r="14" spans="1:4">
      <c r="A14" s="2" t="s">
        <v>1744</v>
      </c>
      <c r="B14" s="97">
        <f>'Dept 22'!G32</f>
        <v>54500</v>
      </c>
      <c r="C14" s="97">
        <v>101000</v>
      </c>
      <c r="D14" s="272">
        <v>101000</v>
      </c>
    </row>
    <row r="15" spans="1:4" ht="13.5" thickBot="1">
      <c r="A15" s="92" t="s">
        <v>1107</v>
      </c>
      <c r="B15" s="99">
        <f>SUM(B2:B14)</f>
        <v>7389958.2999999998</v>
      </c>
      <c r="C15" s="99">
        <f>SUM(C2:C14)</f>
        <v>7502551.4699999997</v>
      </c>
      <c r="D15" s="273">
        <f>SUM(D2:D14)</f>
        <v>6549625.3100000005</v>
      </c>
    </row>
    <row r="16" spans="1:4">
      <c r="B16" s="95"/>
      <c r="C16" s="95"/>
      <c r="D16" s="95"/>
    </row>
    <row r="17" spans="1:4">
      <c r="B17" s="95"/>
      <c r="C17" s="95"/>
      <c r="D17" s="95"/>
    </row>
    <row r="18" spans="1:4" ht="22.9" customHeight="1">
      <c r="A18" s="270" t="s">
        <v>1108</v>
      </c>
      <c r="B18" s="271" t="s">
        <v>1739</v>
      </c>
      <c r="C18" s="271" t="s">
        <v>1099</v>
      </c>
      <c r="D18" s="271" t="s">
        <v>1740</v>
      </c>
    </row>
    <row r="19" spans="1:4">
      <c r="A19" s="2" t="s">
        <v>1745</v>
      </c>
      <c r="B19" s="272">
        <f>SUM(B67)</f>
        <v>1948000</v>
      </c>
      <c r="C19" s="272">
        <f>SUM(C67)</f>
        <v>1615000</v>
      </c>
      <c r="D19" s="274">
        <f>SUM(D67)</f>
        <v>1633864.4</v>
      </c>
    </row>
    <row r="20" spans="1:4">
      <c r="A20" s="2" t="s">
        <v>1109</v>
      </c>
      <c r="B20" s="272">
        <f>SUM(B85)</f>
        <v>1318000</v>
      </c>
      <c r="C20" s="272">
        <f>SUM(C85)</f>
        <v>1260000</v>
      </c>
      <c r="D20" s="274">
        <f>SUM(D85)</f>
        <v>1235883.0099999995</v>
      </c>
    </row>
    <row r="21" spans="1:4">
      <c r="A21" s="2" t="s">
        <v>1746</v>
      </c>
      <c r="B21" s="272">
        <f>SUM(B95)</f>
        <v>283645</v>
      </c>
      <c r="C21" s="272">
        <f>SUM(C95)</f>
        <v>283645</v>
      </c>
      <c r="D21" s="274">
        <v>0</v>
      </c>
    </row>
    <row r="22" spans="1:4">
      <c r="A22" s="2" t="s">
        <v>1110</v>
      </c>
      <c r="B22" s="272">
        <f>SUM(B113)</f>
        <v>1195652</v>
      </c>
      <c r="C22" s="272">
        <f>SUM(C113)</f>
        <v>1247780.17</v>
      </c>
      <c r="D22" s="274">
        <f>SUM(D113)</f>
        <v>873705.38000000012</v>
      </c>
    </row>
    <row r="23" spans="1:4">
      <c r="A23" t="s">
        <v>1114</v>
      </c>
      <c r="B23" s="272">
        <f>SUM(B126)</f>
        <v>610000</v>
      </c>
      <c r="C23" s="272">
        <f>SUM(C126)</f>
        <v>600000</v>
      </c>
      <c r="D23" s="274">
        <f>SUM(D126)</f>
        <v>463973.16000000003</v>
      </c>
    </row>
    <row r="24" spans="1:4">
      <c r="A24" t="s">
        <v>1111</v>
      </c>
      <c r="B24" s="272">
        <f>SUM(B132)</f>
        <v>118529</v>
      </c>
      <c r="C24" s="272">
        <f>SUM(C132)</f>
        <v>118529</v>
      </c>
      <c r="D24" s="274">
        <f>SUM(D132)</f>
        <v>114385.92000000001</v>
      </c>
    </row>
    <row r="25" spans="1:4">
      <c r="A25" t="s">
        <v>1115</v>
      </c>
      <c r="B25" s="272">
        <f>SUM(B171)</f>
        <v>790000</v>
      </c>
      <c r="C25" s="272">
        <f>SUM(C171)</f>
        <v>745000</v>
      </c>
      <c r="D25" s="274">
        <f>SUM(D171)</f>
        <v>736420.29999999993</v>
      </c>
    </row>
    <row r="26" spans="1:4">
      <c r="A26" t="s">
        <v>1112</v>
      </c>
      <c r="B26" s="272">
        <f>SUM(B179)</f>
        <v>50000</v>
      </c>
      <c r="C26" s="272">
        <f>SUM(C179)</f>
        <v>50000</v>
      </c>
      <c r="D26" s="274">
        <f>SUM(D179)</f>
        <v>43671</v>
      </c>
    </row>
    <row r="27" spans="1:4">
      <c r="A27" t="s">
        <v>1113</v>
      </c>
      <c r="B27" s="272">
        <f>SUM(B194)</f>
        <v>375000</v>
      </c>
      <c r="C27" s="272">
        <f>SUM(C194)</f>
        <v>370000</v>
      </c>
      <c r="D27" s="274">
        <f>SUM(D194)</f>
        <v>320361.09000000003</v>
      </c>
    </row>
    <row r="28" spans="1:4">
      <c r="A28" t="s">
        <v>1116</v>
      </c>
      <c r="B28" s="272">
        <f>SUM(B202)</f>
        <v>175000</v>
      </c>
      <c r="C28" s="272">
        <f>SUM(C202)</f>
        <v>175000</v>
      </c>
      <c r="D28" s="274">
        <f>SUM(D202)</f>
        <v>162128.83000000002</v>
      </c>
    </row>
    <row r="29" spans="1:4">
      <c r="A29" s="2" t="s">
        <v>46</v>
      </c>
      <c r="B29" s="275">
        <f>SUM(B209)</f>
        <v>907000</v>
      </c>
      <c r="C29" s="275">
        <f>SUM(C209)</f>
        <v>1031579.94</v>
      </c>
      <c r="D29" s="276">
        <f>SUM(D209)</f>
        <v>1091709.0900000001</v>
      </c>
    </row>
    <row r="30" spans="1:4" ht="13.5" thickBot="1">
      <c r="A30" s="70" t="s">
        <v>1117</v>
      </c>
      <c r="B30" s="102">
        <f>SUM(B19:B29)</f>
        <v>7770826</v>
      </c>
      <c r="C30" s="102">
        <f>SUM(C19:C29)</f>
        <v>7496534.1099999994</v>
      </c>
      <c r="D30" s="277">
        <f>SUM(D19:D29)</f>
        <v>6676102.1799999988</v>
      </c>
    </row>
    <row r="31" spans="1:4" ht="13.5" thickBot="1">
      <c r="A31" s="103" t="s">
        <v>1118</v>
      </c>
      <c r="B31" s="104">
        <f>SUM(B15-B30)</f>
        <v>-380867.70000000019</v>
      </c>
      <c r="C31" s="99">
        <f>SUM(C15-C30)</f>
        <v>6017.3600000003353</v>
      </c>
      <c r="D31" s="278">
        <f>SUM(D15-D30)</f>
        <v>-126476.86999999825</v>
      </c>
    </row>
    <row r="32" spans="1:4">
      <c r="A32" s="22"/>
      <c r="B32" s="95"/>
      <c r="C32" s="95"/>
      <c r="D32" s="105"/>
    </row>
    <row r="33" spans="1:4">
      <c r="A33" s="279"/>
      <c r="B33" s="280"/>
      <c r="C33" s="109"/>
      <c r="D33" s="109"/>
    </row>
    <row r="34" spans="1:4">
      <c r="A34" s="280"/>
      <c r="B34" s="97"/>
    </row>
    <row r="35" spans="1:4">
      <c r="A35" s="280"/>
      <c r="B35" s="97"/>
    </row>
    <row r="36" spans="1:4">
      <c r="A36" s="280"/>
      <c r="B36" s="97"/>
    </row>
    <row r="37" spans="1:4">
      <c r="A37" s="280"/>
      <c r="B37" s="97"/>
      <c r="C37" s="95"/>
    </row>
    <row r="38" spans="1:4">
      <c r="A38" s="280"/>
      <c r="B38" s="97"/>
      <c r="C38" s="95"/>
    </row>
    <row r="39" spans="1:4">
      <c r="A39" s="280"/>
      <c r="B39" s="97"/>
      <c r="C39" s="95"/>
    </row>
    <row r="40" spans="1:4">
      <c r="A40" s="280"/>
      <c r="B40" s="98"/>
      <c r="C40" s="105"/>
    </row>
    <row r="41" spans="1:4">
      <c r="A41" s="280"/>
      <c r="B41" s="98"/>
      <c r="C41" s="105"/>
    </row>
    <row r="42" spans="1:4">
      <c r="A42" s="280"/>
      <c r="B42" s="98"/>
      <c r="C42" s="105"/>
    </row>
    <row r="43" spans="1:4">
      <c r="A43" s="280"/>
      <c r="B43" s="98"/>
      <c r="C43" s="105"/>
    </row>
    <row r="44" spans="1:4">
      <c r="A44" s="280"/>
      <c r="B44" s="98"/>
      <c r="C44" s="105"/>
    </row>
    <row r="45" spans="1:4">
      <c r="A45" s="280"/>
      <c r="B45" s="97"/>
      <c r="D45" s="106"/>
    </row>
    <row r="46" spans="1:4">
      <c r="A46" s="280"/>
      <c r="B46" s="97"/>
      <c r="C46" s="95"/>
      <c r="D46" s="95"/>
    </row>
    <row r="47" spans="1:4">
      <c r="A47" s="280"/>
      <c r="B47" s="97"/>
      <c r="C47" s="95"/>
      <c r="D47" s="107"/>
    </row>
    <row r="48" spans="1:4">
      <c r="A48" s="280"/>
      <c r="B48" s="97"/>
      <c r="D48" s="107"/>
    </row>
    <row r="49" spans="1:4">
      <c r="A49" s="22"/>
      <c r="B49" s="95"/>
      <c r="C49" s="95"/>
      <c r="D49" s="107"/>
    </row>
    <row r="50" spans="1:4">
      <c r="A50" s="108" t="s">
        <v>1119</v>
      </c>
      <c r="B50" s="271" t="s">
        <v>1739</v>
      </c>
      <c r="C50" s="93" t="s">
        <v>1099</v>
      </c>
      <c r="D50" s="94" t="s">
        <v>1740</v>
      </c>
    </row>
    <row r="51" spans="1:4">
      <c r="A51" s="2" t="s">
        <v>1747</v>
      </c>
      <c r="B51" s="95">
        <v>279000</v>
      </c>
      <c r="C51" s="120">
        <v>0</v>
      </c>
      <c r="D51" s="120">
        <v>83730.67</v>
      </c>
    </row>
    <row r="52" spans="1:4">
      <c r="A52" s="2" t="s">
        <v>1748</v>
      </c>
      <c r="B52" s="95">
        <v>1118000</v>
      </c>
      <c r="C52" s="95">
        <v>1112000</v>
      </c>
      <c r="D52" s="120">
        <v>1094610.73</v>
      </c>
    </row>
    <row r="53" spans="1:4">
      <c r="A53" s="2" t="s">
        <v>1120</v>
      </c>
      <c r="B53" s="95">
        <v>162000</v>
      </c>
      <c r="C53" s="95">
        <v>170000</v>
      </c>
      <c r="D53" s="120">
        <v>147278.84</v>
      </c>
    </row>
    <row r="54" spans="1:4">
      <c r="A54" t="s">
        <v>1121</v>
      </c>
      <c r="B54" s="95">
        <v>225000</v>
      </c>
      <c r="C54" s="95">
        <v>170000</v>
      </c>
      <c r="D54" s="120">
        <v>164915.65</v>
      </c>
    </row>
    <row r="55" spans="1:4">
      <c r="A55" s="2" t="s">
        <v>1749</v>
      </c>
      <c r="B55" s="95">
        <v>22000</v>
      </c>
      <c r="C55" s="95">
        <v>22000</v>
      </c>
      <c r="D55" s="120">
        <v>25472.5</v>
      </c>
    </row>
    <row r="56" spans="1:4">
      <c r="A56" t="s">
        <v>1122</v>
      </c>
      <c r="B56" s="95">
        <v>5000</v>
      </c>
      <c r="C56" s="95">
        <v>5000</v>
      </c>
      <c r="D56" s="120">
        <v>5784.87</v>
      </c>
    </row>
    <row r="57" spans="1:4">
      <c r="A57" t="s">
        <v>1123</v>
      </c>
      <c r="B57" s="95">
        <v>21000</v>
      </c>
      <c r="C57" s="95">
        <v>21000</v>
      </c>
      <c r="D57" s="120">
        <v>20981.439999999999</v>
      </c>
    </row>
    <row r="58" spans="1:4">
      <c r="A58" t="s">
        <v>1124</v>
      </c>
      <c r="B58" s="95">
        <v>11000</v>
      </c>
      <c r="C58" s="95">
        <v>10000</v>
      </c>
      <c r="D58" s="120">
        <v>10980.96</v>
      </c>
    </row>
    <row r="59" spans="1:4">
      <c r="A59" t="s">
        <v>1125</v>
      </c>
      <c r="B59" s="95">
        <v>10000</v>
      </c>
      <c r="C59" s="95">
        <v>10000</v>
      </c>
      <c r="D59" s="120">
        <v>6500</v>
      </c>
    </row>
    <row r="60" spans="1:4">
      <c r="A60" s="2" t="s">
        <v>1126</v>
      </c>
      <c r="B60" s="95">
        <v>25000</v>
      </c>
      <c r="C60" s="95">
        <v>22000</v>
      </c>
      <c r="D60" s="120">
        <v>15998.53</v>
      </c>
    </row>
    <row r="61" spans="1:4">
      <c r="A61" s="2" t="s">
        <v>1127</v>
      </c>
      <c r="B61" s="95">
        <v>30000</v>
      </c>
      <c r="C61" s="95">
        <v>34000</v>
      </c>
      <c r="D61" s="120">
        <v>29182.9</v>
      </c>
    </row>
    <row r="62" spans="1:4">
      <c r="A62" t="s">
        <v>1128</v>
      </c>
      <c r="B62" s="95">
        <v>1000</v>
      </c>
      <c r="C62" s="95">
        <v>1000</v>
      </c>
      <c r="D62" s="120">
        <v>1469.21</v>
      </c>
    </row>
    <row r="63" spans="1:4">
      <c r="A63" s="2" t="s">
        <v>1750</v>
      </c>
      <c r="B63" s="95">
        <v>10000</v>
      </c>
      <c r="C63" s="95">
        <v>10000</v>
      </c>
      <c r="D63" s="120">
        <v>5140.8599999999997</v>
      </c>
    </row>
    <row r="64" spans="1:4">
      <c r="A64" t="s">
        <v>1129</v>
      </c>
      <c r="B64" s="95">
        <v>10000</v>
      </c>
      <c r="C64" s="95">
        <v>10000</v>
      </c>
      <c r="D64" s="120">
        <v>6000</v>
      </c>
    </row>
    <row r="65" spans="1:4">
      <c r="A65" t="s">
        <v>1130</v>
      </c>
      <c r="B65" s="95">
        <v>4000</v>
      </c>
      <c r="C65" s="95">
        <v>3000</v>
      </c>
      <c r="D65" s="120">
        <v>2443.2399999999998</v>
      </c>
    </row>
    <row r="66" spans="1:4">
      <c r="A66" s="2" t="s">
        <v>1131</v>
      </c>
      <c r="B66" s="113">
        <v>15000</v>
      </c>
      <c r="C66" s="113">
        <v>15000</v>
      </c>
      <c r="D66" s="120">
        <v>13374</v>
      </c>
    </row>
    <row r="67" spans="1:4" ht="13.5" thickBot="1">
      <c r="A67" s="92" t="s">
        <v>1132</v>
      </c>
      <c r="B67" s="110">
        <f>SUM(B51:B66)</f>
        <v>1948000</v>
      </c>
      <c r="C67" s="110">
        <f>SUM(C52:C66)</f>
        <v>1615000</v>
      </c>
      <c r="D67" s="281">
        <f>SUM(D51:D66)</f>
        <v>1633864.4</v>
      </c>
    </row>
    <row r="68" spans="1:4" ht="13.5" thickTop="1">
      <c r="A68" s="70"/>
      <c r="B68" s="105"/>
      <c r="C68" s="105"/>
      <c r="D68" s="282"/>
    </row>
    <row r="69" spans="1:4">
      <c r="A69" s="108" t="s">
        <v>1133</v>
      </c>
      <c r="B69" s="271" t="s">
        <v>1739</v>
      </c>
      <c r="C69" s="93" t="s">
        <v>1099</v>
      </c>
      <c r="D69" s="94" t="s">
        <v>1740</v>
      </c>
    </row>
    <row r="70" spans="1:4">
      <c r="A70" s="2" t="s">
        <v>1751</v>
      </c>
      <c r="B70" s="95">
        <v>1008000</v>
      </c>
      <c r="C70" s="95">
        <v>950000</v>
      </c>
      <c r="D70" s="120">
        <v>978655.96</v>
      </c>
    </row>
    <row r="71" spans="1:4">
      <c r="A71" s="2" t="s">
        <v>1749</v>
      </c>
      <c r="B71" s="95">
        <v>20000</v>
      </c>
      <c r="C71" s="95">
        <v>27000</v>
      </c>
      <c r="D71" s="120">
        <v>22487.5</v>
      </c>
    </row>
    <row r="72" spans="1:4">
      <c r="A72" t="s">
        <v>1121</v>
      </c>
      <c r="B72" s="95">
        <v>142000</v>
      </c>
      <c r="C72" s="95">
        <v>130000</v>
      </c>
      <c r="D72" s="120">
        <v>120790.91</v>
      </c>
    </row>
    <row r="73" spans="1:4">
      <c r="A73" t="s">
        <v>1122</v>
      </c>
      <c r="B73" s="95">
        <v>5000</v>
      </c>
      <c r="C73" s="95">
        <v>5000</v>
      </c>
      <c r="D73" s="120">
        <v>4684.3999999999996</v>
      </c>
    </row>
    <row r="74" spans="1:4">
      <c r="A74" s="2" t="s">
        <v>1134</v>
      </c>
      <c r="B74" s="95">
        <v>25000</v>
      </c>
      <c r="C74" s="95">
        <v>25000</v>
      </c>
      <c r="D74" s="120">
        <v>15066.49</v>
      </c>
    </row>
    <row r="75" spans="1:4">
      <c r="A75" s="2" t="s">
        <v>1127</v>
      </c>
      <c r="B75" s="95">
        <v>30000</v>
      </c>
      <c r="C75" s="95">
        <v>30000</v>
      </c>
      <c r="D75" s="120">
        <v>24420.2</v>
      </c>
    </row>
    <row r="76" spans="1:4">
      <c r="A76" t="s">
        <v>1135</v>
      </c>
      <c r="B76" s="95">
        <v>10000</v>
      </c>
      <c r="C76" s="95">
        <v>10000</v>
      </c>
      <c r="D76" s="120">
        <v>6579.63</v>
      </c>
    </row>
    <row r="77" spans="1:4">
      <c r="A77" s="2" t="s">
        <v>1136</v>
      </c>
      <c r="B77" s="95">
        <v>10000</v>
      </c>
      <c r="C77" s="95">
        <v>15000</v>
      </c>
      <c r="D77" s="120">
        <v>10000</v>
      </c>
    </row>
    <row r="78" spans="1:4">
      <c r="A78" t="s">
        <v>1137</v>
      </c>
      <c r="B78" s="95">
        <v>10000</v>
      </c>
      <c r="C78" s="95">
        <v>10000</v>
      </c>
      <c r="D78" s="120">
        <v>7000</v>
      </c>
    </row>
    <row r="79" spans="1:4">
      <c r="A79" t="s">
        <v>1138</v>
      </c>
      <c r="B79" s="95">
        <v>15000</v>
      </c>
      <c r="C79" s="95">
        <v>15000</v>
      </c>
      <c r="D79" s="120">
        <v>10000</v>
      </c>
    </row>
    <row r="80" spans="1:4">
      <c r="A80" t="s">
        <v>1128</v>
      </c>
      <c r="B80" s="95">
        <v>1000</v>
      </c>
      <c r="C80" s="95">
        <v>1000</v>
      </c>
      <c r="D80" s="120">
        <v>843.38</v>
      </c>
    </row>
    <row r="81" spans="1:4">
      <c r="A81" s="2" t="s">
        <v>1750</v>
      </c>
      <c r="B81" s="95">
        <v>10000</v>
      </c>
      <c r="C81" s="95">
        <v>10000</v>
      </c>
      <c r="D81" s="120">
        <v>10000</v>
      </c>
    </row>
    <row r="82" spans="1:4">
      <c r="A82" t="s">
        <v>1130</v>
      </c>
      <c r="B82" s="95">
        <v>7000</v>
      </c>
      <c r="C82" s="95">
        <v>7000</v>
      </c>
      <c r="D82" s="120">
        <v>5149.54</v>
      </c>
    </row>
    <row r="83" spans="1:4">
      <c r="A83" s="2" t="s">
        <v>1129</v>
      </c>
      <c r="B83" s="95">
        <v>10000</v>
      </c>
      <c r="C83" s="95">
        <v>10000</v>
      </c>
      <c r="D83" s="120">
        <v>7000</v>
      </c>
    </row>
    <row r="84" spans="1:4">
      <c r="A84" s="2" t="s">
        <v>1131</v>
      </c>
      <c r="B84" s="101">
        <v>15000</v>
      </c>
      <c r="C84" s="96">
        <v>15000</v>
      </c>
      <c r="D84" s="120">
        <v>13205</v>
      </c>
    </row>
    <row r="85" spans="1:4" ht="13.5" thickBot="1">
      <c r="A85" s="92" t="s">
        <v>1132</v>
      </c>
      <c r="B85" s="110">
        <f>SUM(B70:B84)</f>
        <v>1318000</v>
      </c>
      <c r="C85" s="110">
        <f>SUM(C70:C84)</f>
        <v>1260000</v>
      </c>
      <c r="D85" s="281">
        <f>SUM(D70:D84)</f>
        <v>1235883.0099999995</v>
      </c>
    </row>
    <row r="86" spans="1:4" ht="13.5" thickTop="1">
      <c r="A86" s="70"/>
      <c r="B86" s="111"/>
      <c r="C86" s="111"/>
      <c r="D86" s="112"/>
    </row>
    <row r="87" spans="1:4">
      <c r="A87" s="116" t="s">
        <v>1746</v>
      </c>
      <c r="B87" s="271" t="s">
        <v>1739</v>
      </c>
      <c r="C87" s="93" t="s">
        <v>1099</v>
      </c>
      <c r="D87" s="94" t="s">
        <v>1740</v>
      </c>
    </row>
    <row r="88" spans="1:4">
      <c r="A88" s="243" t="s">
        <v>1863</v>
      </c>
      <c r="B88" s="115">
        <v>82500</v>
      </c>
      <c r="C88" s="115">
        <v>76875</v>
      </c>
      <c r="D88" s="112">
        <v>0</v>
      </c>
    </row>
    <row r="89" spans="1:4">
      <c r="A89" s="114" t="s">
        <v>1752</v>
      </c>
      <c r="B89" s="115">
        <v>34000</v>
      </c>
      <c r="C89" s="115">
        <v>31173</v>
      </c>
      <c r="D89" s="112">
        <v>0</v>
      </c>
    </row>
    <row r="90" spans="1:4">
      <c r="A90" s="114" t="s">
        <v>1753</v>
      </c>
      <c r="B90" s="115">
        <v>82500</v>
      </c>
      <c r="C90" s="115">
        <v>76875</v>
      </c>
      <c r="D90" s="112">
        <v>0</v>
      </c>
    </row>
    <row r="91" spans="1:4">
      <c r="A91" s="114" t="s">
        <v>1752</v>
      </c>
      <c r="B91" s="115">
        <v>27500</v>
      </c>
      <c r="C91" s="115">
        <v>31173</v>
      </c>
      <c r="D91" s="112">
        <v>0</v>
      </c>
    </row>
    <row r="92" spans="1:4">
      <c r="A92" s="114" t="s">
        <v>1121</v>
      </c>
      <c r="B92" s="115">
        <v>32000</v>
      </c>
      <c r="C92" s="115">
        <v>30000</v>
      </c>
      <c r="D92" s="112">
        <v>0</v>
      </c>
    </row>
    <row r="93" spans="1:4">
      <c r="A93" s="114" t="s">
        <v>1754</v>
      </c>
      <c r="B93" s="115">
        <v>20000</v>
      </c>
      <c r="C93" s="115">
        <v>20000</v>
      </c>
      <c r="D93" s="112">
        <v>0</v>
      </c>
    </row>
    <row r="94" spans="1:4">
      <c r="A94" s="114" t="s">
        <v>1151</v>
      </c>
      <c r="B94" s="115">
        <v>5145</v>
      </c>
      <c r="C94" s="115">
        <v>17549</v>
      </c>
      <c r="D94" s="112">
        <v>0</v>
      </c>
    </row>
    <row r="95" spans="1:4" ht="13.5" thickBot="1">
      <c r="A95" s="116" t="s">
        <v>1132</v>
      </c>
      <c r="B95" s="100">
        <f>SUM(B88:B94)</f>
        <v>283645</v>
      </c>
      <c r="C95" s="100">
        <f>SUM(C88:C94)</f>
        <v>283645</v>
      </c>
      <c r="D95" s="281">
        <f>SUM(D88:D94)</f>
        <v>0</v>
      </c>
    </row>
    <row r="96" spans="1:4" ht="13.5" thickTop="1">
      <c r="A96" s="70"/>
      <c r="B96" s="111"/>
      <c r="C96" s="111"/>
      <c r="D96" s="112"/>
    </row>
    <row r="97" spans="1:4">
      <c r="A97" s="70"/>
      <c r="B97" s="111"/>
      <c r="C97" s="111"/>
      <c r="D97" s="112"/>
    </row>
    <row r="98" spans="1:4">
      <c r="A98" s="70"/>
      <c r="B98" s="111"/>
      <c r="C98" s="111"/>
      <c r="D98" s="112"/>
    </row>
    <row r="99" spans="1:4">
      <c r="A99" s="70"/>
      <c r="B99" s="111"/>
      <c r="C99" s="111"/>
      <c r="D99" s="112"/>
    </row>
    <row r="100" spans="1:4">
      <c r="A100" s="70"/>
      <c r="B100" s="111"/>
      <c r="C100" s="111"/>
      <c r="D100" s="112"/>
    </row>
    <row r="101" spans="1:4">
      <c r="A101" s="108" t="s">
        <v>1139</v>
      </c>
      <c r="B101" s="93" t="s">
        <v>1739</v>
      </c>
      <c r="C101" s="93" t="s">
        <v>1099</v>
      </c>
      <c r="D101" s="94" t="s">
        <v>1740</v>
      </c>
    </row>
    <row r="102" spans="1:4">
      <c r="A102" s="2" t="s">
        <v>1755</v>
      </c>
      <c r="B102" s="113">
        <v>169000</v>
      </c>
      <c r="C102" s="113">
        <v>128499</v>
      </c>
      <c r="D102" s="120">
        <v>88944.639999999999</v>
      </c>
    </row>
    <row r="103" spans="1:4">
      <c r="A103" s="2" t="s">
        <v>1756</v>
      </c>
      <c r="B103" s="113">
        <v>100500</v>
      </c>
      <c r="C103" s="113">
        <v>93878</v>
      </c>
      <c r="D103" s="120">
        <v>46744.87</v>
      </c>
    </row>
    <row r="104" spans="1:4">
      <c r="A104" s="2" t="s">
        <v>1757</v>
      </c>
      <c r="B104" s="113">
        <v>602000</v>
      </c>
      <c r="C104" s="113">
        <v>588166</v>
      </c>
      <c r="D104" s="120">
        <v>472355.9</v>
      </c>
    </row>
    <row r="105" spans="1:4">
      <c r="A105" s="2" t="s">
        <v>1758</v>
      </c>
      <c r="B105" s="113">
        <v>84500</v>
      </c>
      <c r="C105" s="113">
        <v>83400.17</v>
      </c>
      <c r="D105" s="120">
        <v>69834.289999999994</v>
      </c>
    </row>
    <row r="106" spans="1:4">
      <c r="A106" s="2" t="s">
        <v>1749</v>
      </c>
      <c r="B106" s="113">
        <v>20000</v>
      </c>
      <c r="C106" s="113">
        <v>20000</v>
      </c>
      <c r="D106" s="120">
        <v>23712.5</v>
      </c>
    </row>
    <row r="107" spans="1:4">
      <c r="A107" s="2" t="s">
        <v>1121</v>
      </c>
      <c r="B107" s="113">
        <v>135000</v>
      </c>
      <c r="C107" s="113">
        <v>155089</v>
      </c>
      <c r="D107" s="120">
        <v>98793.51</v>
      </c>
    </row>
    <row r="108" spans="1:4">
      <c r="A108" s="2" t="s">
        <v>1759</v>
      </c>
      <c r="B108" s="95">
        <v>30720</v>
      </c>
      <c r="C108" s="95">
        <v>30000</v>
      </c>
      <c r="D108" s="120">
        <v>19200</v>
      </c>
    </row>
    <row r="109" spans="1:4">
      <c r="A109" s="2" t="s">
        <v>1760</v>
      </c>
      <c r="B109" s="96">
        <v>30720</v>
      </c>
      <c r="C109" s="96">
        <v>30720</v>
      </c>
      <c r="D109" s="120">
        <v>25920</v>
      </c>
    </row>
    <row r="110" spans="1:4">
      <c r="A110" s="2" t="s">
        <v>1122</v>
      </c>
      <c r="B110" s="96">
        <v>4212</v>
      </c>
      <c r="C110" s="96">
        <v>10285</v>
      </c>
      <c r="D110" s="120">
        <v>3560</v>
      </c>
    </row>
    <row r="111" spans="1:4">
      <c r="A111" s="2" t="s">
        <v>1131</v>
      </c>
      <c r="B111" s="96">
        <v>14000</v>
      </c>
      <c r="C111" s="96">
        <v>14000</v>
      </c>
      <c r="D111" s="120">
        <v>13092</v>
      </c>
    </row>
    <row r="112" spans="1:4">
      <c r="A112" s="2" t="s">
        <v>1761</v>
      </c>
      <c r="B112" s="101">
        <v>5000</v>
      </c>
      <c r="C112" s="96">
        <v>93743</v>
      </c>
      <c r="D112" s="120">
        <v>11547.67</v>
      </c>
    </row>
    <row r="113" spans="1:4" ht="13.5" thickBot="1">
      <c r="A113" s="92" t="s">
        <v>1132</v>
      </c>
      <c r="B113" s="110">
        <f>SUM(B102:B112)</f>
        <v>1195652</v>
      </c>
      <c r="C113" s="110">
        <f>SUM(C102:C112)</f>
        <v>1247780.17</v>
      </c>
      <c r="D113" s="281">
        <f>SUM(D102:D112)</f>
        <v>873705.38000000012</v>
      </c>
    </row>
    <row r="114" spans="1:4" ht="13.5" thickTop="1">
      <c r="A114" s="70"/>
      <c r="B114" s="111"/>
      <c r="C114" s="111"/>
      <c r="D114" s="112"/>
    </row>
    <row r="115" spans="1:4">
      <c r="A115" s="108" t="s">
        <v>1140</v>
      </c>
      <c r="B115" s="93" t="s">
        <v>1739</v>
      </c>
      <c r="C115" s="93" t="s">
        <v>1099</v>
      </c>
      <c r="D115" s="94" t="s">
        <v>1740</v>
      </c>
    </row>
    <row r="116" spans="1:4">
      <c r="A116" s="2" t="s">
        <v>1762</v>
      </c>
      <c r="B116" s="95">
        <v>285000</v>
      </c>
      <c r="C116" s="95">
        <v>275000</v>
      </c>
      <c r="D116" s="120">
        <v>258265.54</v>
      </c>
    </row>
    <row r="117" spans="1:4">
      <c r="A117" s="2" t="s">
        <v>1142</v>
      </c>
      <c r="B117" s="95">
        <v>10000</v>
      </c>
      <c r="C117" s="95">
        <v>10000</v>
      </c>
      <c r="D117" s="120">
        <v>8658</v>
      </c>
    </row>
    <row r="118" spans="1:4">
      <c r="A118" t="s">
        <v>1121</v>
      </c>
      <c r="B118" s="95">
        <v>52000</v>
      </c>
      <c r="C118" s="95">
        <v>45000</v>
      </c>
      <c r="D118" s="120">
        <v>37166.78</v>
      </c>
    </row>
    <row r="119" spans="1:4">
      <c r="A119" t="s">
        <v>1143</v>
      </c>
      <c r="B119" s="95">
        <v>0</v>
      </c>
      <c r="C119" s="95">
        <v>0</v>
      </c>
      <c r="D119" s="120">
        <v>0</v>
      </c>
    </row>
    <row r="120" spans="1:4">
      <c r="A120" s="2" t="s">
        <v>1144</v>
      </c>
      <c r="B120" s="283">
        <v>45000</v>
      </c>
      <c r="C120" s="283">
        <v>46125</v>
      </c>
      <c r="D120" s="120">
        <v>30635</v>
      </c>
    </row>
    <row r="121" spans="1:4">
      <c r="A121" t="s">
        <v>1145</v>
      </c>
      <c r="B121" s="95">
        <v>10000</v>
      </c>
      <c r="C121" s="95">
        <v>10000</v>
      </c>
      <c r="D121" s="120">
        <v>8595.35</v>
      </c>
    </row>
    <row r="122" spans="1:4">
      <c r="A122" t="s">
        <v>1146</v>
      </c>
      <c r="B122" s="95">
        <v>10000</v>
      </c>
      <c r="C122" s="95">
        <v>10000</v>
      </c>
      <c r="D122" s="120">
        <v>7795</v>
      </c>
    </row>
    <row r="123" spans="1:4">
      <c r="A123" t="s">
        <v>1147</v>
      </c>
      <c r="B123" s="95">
        <v>163000</v>
      </c>
      <c r="C123" s="95">
        <v>167875</v>
      </c>
      <c r="D123" s="120">
        <v>80950.92</v>
      </c>
    </row>
    <row r="124" spans="1:4">
      <c r="A124" t="s">
        <v>1148</v>
      </c>
      <c r="B124" s="95">
        <v>5000</v>
      </c>
      <c r="C124" s="95">
        <v>6000</v>
      </c>
      <c r="D124" s="120">
        <v>3255.87</v>
      </c>
    </row>
    <row r="125" spans="1:4">
      <c r="A125" t="s">
        <v>1149</v>
      </c>
      <c r="B125" s="101">
        <v>30000</v>
      </c>
      <c r="C125" s="101">
        <v>30000</v>
      </c>
      <c r="D125" s="284">
        <v>28650.7</v>
      </c>
    </row>
    <row r="126" spans="1:4" ht="13.5" thickBot="1">
      <c r="A126" s="92" t="s">
        <v>1132</v>
      </c>
      <c r="B126" s="117">
        <f>SUM(B116:B125)</f>
        <v>610000</v>
      </c>
      <c r="C126" s="117">
        <f>SUM(C116:C125)</f>
        <v>600000</v>
      </c>
      <c r="D126" s="281">
        <f>SUM(D116:D125)</f>
        <v>463973.16000000003</v>
      </c>
    </row>
    <row r="127" spans="1:4" ht="13.5" thickTop="1">
      <c r="A127" s="70"/>
      <c r="B127" s="118"/>
      <c r="C127" s="118"/>
      <c r="D127" s="112"/>
    </row>
    <row r="128" spans="1:4">
      <c r="A128" s="92" t="s">
        <v>1150</v>
      </c>
      <c r="B128" s="93" t="s">
        <v>1739</v>
      </c>
      <c r="C128" s="93" t="s">
        <v>1099</v>
      </c>
      <c r="D128" s="94" t="s">
        <v>1740</v>
      </c>
    </row>
    <row r="129" spans="1:4">
      <c r="A129" s="114" t="s">
        <v>1141</v>
      </c>
      <c r="B129" s="113">
        <v>51000</v>
      </c>
      <c r="C129" s="113">
        <v>51000</v>
      </c>
      <c r="D129" s="285">
        <v>51032.43</v>
      </c>
    </row>
    <row r="130" spans="1:4">
      <c r="A130" s="114" t="s">
        <v>1121</v>
      </c>
      <c r="B130" s="113">
        <v>6000</v>
      </c>
      <c r="C130" s="113">
        <v>6000</v>
      </c>
      <c r="D130" s="285">
        <v>5962.87</v>
      </c>
    </row>
    <row r="131" spans="1:4">
      <c r="A131" s="114" t="s">
        <v>1151</v>
      </c>
      <c r="B131" s="119">
        <v>61529</v>
      </c>
      <c r="C131" s="113">
        <v>61529</v>
      </c>
      <c r="D131" s="285">
        <v>57390.62</v>
      </c>
    </row>
    <row r="132" spans="1:4" ht="13.5" thickBot="1">
      <c r="A132" s="92" t="s">
        <v>1132</v>
      </c>
      <c r="B132" s="117">
        <f>SUM(B129:B131)</f>
        <v>118529</v>
      </c>
      <c r="C132" s="117">
        <f>SUM(C129:C131)</f>
        <v>118529</v>
      </c>
      <c r="D132" s="281">
        <f>SUM(D129:D131)</f>
        <v>114385.92000000001</v>
      </c>
    </row>
    <row r="133" spans="1:4" ht="13.5" thickTop="1">
      <c r="A133" s="70"/>
      <c r="B133" s="118"/>
      <c r="C133" s="118"/>
      <c r="D133" s="112"/>
    </row>
    <row r="134" spans="1:4">
      <c r="A134" s="70"/>
      <c r="B134" s="118"/>
      <c r="C134" s="118"/>
      <c r="D134" s="112"/>
    </row>
    <row r="135" spans="1:4">
      <c r="A135" s="70"/>
      <c r="B135" s="118"/>
      <c r="C135" s="118"/>
      <c r="D135" s="112"/>
    </row>
    <row r="136" spans="1:4">
      <c r="A136" s="70"/>
      <c r="B136" s="118"/>
      <c r="C136" s="118"/>
      <c r="D136" s="112"/>
    </row>
    <row r="137" spans="1:4">
      <c r="A137" s="70"/>
      <c r="B137" s="118"/>
      <c r="C137" s="118"/>
      <c r="D137" s="112"/>
    </row>
    <row r="138" spans="1:4">
      <c r="A138" s="70"/>
      <c r="B138" s="118"/>
      <c r="C138" s="118"/>
      <c r="D138" s="112"/>
    </row>
    <row r="139" spans="1:4">
      <c r="A139" s="70"/>
      <c r="B139" s="118"/>
      <c r="C139" s="118"/>
      <c r="D139" s="112"/>
    </row>
    <row r="140" spans="1:4">
      <c r="A140" s="70"/>
      <c r="B140" s="118"/>
      <c r="C140" s="118"/>
      <c r="D140" s="112"/>
    </row>
    <row r="141" spans="1:4">
      <c r="A141" s="70"/>
      <c r="B141" s="118"/>
      <c r="C141" s="118"/>
      <c r="D141" s="112"/>
    </row>
    <row r="142" spans="1:4">
      <c r="A142" s="70"/>
      <c r="B142" s="118"/>
      <c r="C142" s="118"/>
      <c r="D142" s="112"/>
    </row>
    <row r="143" spans="1:4">
      <c r="A143" s="70"/>
      <c r="B143" s="118"/>
      <c r="C143" s="118"/>
      <c r="D143" s="112"/>
    </row>
    <row r="144" spans="1:4">
      <c r="A144" s="70"/>
      <c r="B144" s="118"/>
      <c r="C144" s="118"/>
      <c r="D144" s="112"/>
    </row>
    <row r="145" spans="1:4">
      <c r="A145" s="70"/>
      <c r="B145" s="118"/>
      <c r="C145" s="118"/>
      <c r="D145" s="112"/>
    </row>
    <row r="146" spans="1:4">
      <c r="A146" s="70"/>
      <c r="B146" s="118"/>
      <c r="C146" s="118"/>
      <c r="D146" s="112"/>
    </row>
    <row r="147" spans="1:4">
      <c r="A147" s="70"/>
      <c r="B147" s="118"/>
      <c r="C147" s="118"/>
      <c r="D147" s="112"/>
    </row>
    <row r="148" spans="1:4">
      <c r="A148" s="70"/>
      <c r="B148" s="118"/>
      <c r="C148" s="118"/>
      <c r="D148" s="112"/>
    </row>
    <row r="149" spans="1:4">
      <c r="A149" s="70"/>
      <c r="B149" s="118"/>
      <c r="C149" s="118"/>
      <c r="D149" s="112"/>
    </row>
    <row r="150" spans="1:4">
      <c r="A150" s="70"/>
      <c r="B150" s="118"/>
      <c r="C150" s="118"/>
      <c r="D150" s="112"/>
    </row>
    <row r="151" spans="1:4">
      <c r="A151" s="70"/>
      <c r="B151" s="118"/>
      <c r="C151" s="118"/>
      <c r="D151" s="112"/>
    </row>
    <row r="152" spans="1:4">
      <c r="A152" s="108" t="s">
        <v>1152</v>
      </c>
      <c r="B152" s="93" t="s">
        <v>1739</v>
      </c>
      <c r="C152" s="93" t="s">
        <v>1099</v>
      </c>
      <c r="D152" s="94" t="s">
        <v>1740</v>
      </c>
    </row>
    <row r="153" spans="1:4">
      <c r="A153" s="2" t="s">
        <v>1763</v>
      </c>
      <c r="B153" s="95">
        <v>300000</v>
      </c>
      <c r="C153" s="95">
        <v>275000</v>
      </c>
      <c r="D153" s="120">
        <v>223125.72</v>
      </c>
    </row>
    <row r="154" spans="1:4">
      <c r="A154" s="2" t="s">
        <v>1764</v>
      </c>
      <c r="B154" s="95">
        <v>25000</v>
      </c>
      <c r="C154" s="95">
        <v>35000</v>
      </c>
      <c r="D154" s="120">
        <v>29337.64</v>
      </c>
    </row>
    <row r="155" spans="1:4">
      <c r="A155" t="s">
        <v>1121</v>
      </c>
      <c r="B155" s="95">
        <v>45000</v>
      </c>
      <c r="C155" s="95">
        <v>45000</v>
      </c>
      <c r="D155" s="120">
        <v>29153.4</v>
      </c>
    </row>
    <row r="156" spans="1:4">
      <c r="A156" t="s">
        <v>1153</v>
      </c>
      <c r="B156" s="95">
        <v>13000</v>
      </c>
      <c r="C156" s="95">
        <v>7500</v>
      </c>
      <c r="D156" s="120">
        <v>6500</v>
      </c>
    </row>
    <row r="157" spans="1:4">
      <c r="A157" t="s">
        <v>1154</v>
      </c>
      <c r="B157" s="95">
        <v>11000</v>
      </c>
      <c r="C157" s="95">
        <v>11000</v>
      </c>
      <c r="D157" s="120">
        <v>9350</v>
      </c>
    </row>
    <row r="158" spans="1:4">
      <c r="A158" s="2" t="s">
        <v>1155</v>
      </c>
      <c r="B158" s="95">
        <v>27000</v>
      </c>
      <c r="C158" s="95">
        <v>26500</v>
      </c>
      <c r="D158" s="120">
        <v>22519.81</v>
      </c>
    </row>
    <row r="159" spans="1:4">
      <c r="A159" s="2" t="s">
        <v>1156</v>
      </c>
      <c r="B159" s="95">
        <v>100000</v>
      </c>
      <c r="C159" s="95">
        <v>112000</v>
      </c>
      <c r="D159" s="120">
        <v>110591.66</v>
      </c>
    </row>
    <row r="160" spans="1:4">
      <c r="A160" s="2" t="s">
        <v>1157</v>
      </c>
      <c r="B160" s="109">
        <v>35000</v>
      </c>
      <c r="C160" s="109">
        <v>20000</v>
      </c>
      <c r="D160" s="120">
        <v>12748.51</v>
      </c>
    </row>
    <row r="161" spans="1:4">
      <c r="A161" s="2" t="s">
        <v>1158</v>
      </c>
      <c r="B161" s="95">
        <v>20000</v>
      </c>
      <c r="C161" s="95">
        <v>12000</v>
      </c>
      <c r="D161" s="120">
        <v>13187.1</v>
      </c>
    </row>
    <row r="162" spans="1:4">
      <c r="A162" t="s">
        <v>1159</v>
      </c>
      <c r="B162" s="95">
        <v>13000</v>
      </c>
      <c r="C162" s="95">
        <v>13000</v>
      </c>
      <c r="D162" s="120">
        <v>11750</v>
      </c>
    </row>
    <row r="163" spans="1:4">
      <c r="A163" s="2" t="s">
        <v>1765</v>
      </c>
      <c r="B163" s="95">
        <v>47000</v>
      </c>
      <c r="C163" s="95">
        <v>47000</v>
      </c>
      <c r="D163" s="120">
        <v>2055.2199999999998</v>
      </c>
    </row>
    <row r="164" spans="1:4">
      <c r="A164" t="s">
        <v>1766</v>
      </c>
      <c r="B164" s="95">
        <v>0</v>
      </c>
      <c r="C164" s="95">
        <v>0</v>
      </c>
      <c r="D164" s="120">
        <v>142292</v>
      </c>
    </row>
    <row r="165" spans="1:4">
      <c r="A165" t="s">
        <v>1160</v>
      </c>
      <c r="B165" s="95">
        <v>100000</v>
      </c>
      <c r="C165" s="95">
        <v>90000</v>
      </c>
      <c r="D165" s="120">
        <v>77009.39</v>
      </c>
    </row>
    <row r="166" spans="1:4">
      <c r="A166" t="s">
        <v>1161</v>
      </c>
      <c r="B166" s="95">
        <v>5000</v>
      </c>
      <c r="C166" s="95">
        <v>5000</v>
      </c>
      <c r="D166" s="120">
        <v>4778.7299999999996</v>
      </c>
    </row>
    <row r="167" spans="1:4">
      <c r="A167" t="s">
        <v>1162</v>
      </c>
      <c r="B167" s="95">
        <v>2500</v>
      </c>
      <c r="C167" s="95">
        <v>2500</v>
      </c>
      <c r="D167" s="120">
        <v>2922.64</v>
      </c>
    </row>
    <row r="168" spans="1:4">
      <c r="A168" t="s">
        <v>1467</v>
      </c>
      <c r="B168" s="95">
        <v>3000</v>
      </c>
      <c r="C168" s="95">
        <v>2500</v>
      </c>
      <c r="D168" s="120">
        <v>2123.0100000000002</v>
      </c>
    </row>
    <row r="169" spans="1:4">
      <c r="A169" t="s">
        <v>1163</v>
      </c>
      <c r="B169" s="95">
        <v>40000</v>
      </c>
      <c r="C169" s="95">
        <v>37500</v>
      </c>
      <c r="D169" s="120">
        <v>36975.47</v>
      </c>
    </row>
    <row r="170" spans="1:4">
      <c r="A170" s="2" t="s">
        <v>1767</v>
      </c>
      <c r="B170" s="101">
        <v>3500</v>
      </c>
      <c r="C170" s="101">
        <v>3500</v>
      </c>
      <c r="D170" s="120">
        <v>0</v>
      </c>
    </row>
    <row r="171" spans="1:4" ht="13.5" thickBot="1">
      <c r="A171" s="92" t="s">
        <v>1132</v>
      </c>
      <c r="B171" s="110">
        <f>SUM(B153:B170)</f>
        <v>790000</v>
      </c>
      <c r="C171" s="110">
        <f>SUM(C153:C170)</f>
        <v>745000</v>
      </c>
      <c r="D171" s="281">
        <f>SUM(D153:D170)</f>
        <v>736420.29999999993</v>
      </c>
    </row>
    <row r="172" spans="1:4" ht="13.5" thickTop="1">
      <c r="B172" s="95"/>
      <c r="C172" s="95"/>
      <c r="D172" s="120"/>
    </row>
    <row r="173" spans="1:4">
      <c r="A173" s="108" t="s">
        <v>1164</v>
      </c>
      <c r="B173" s="93" t="s">
        <v>1739</v>
      </c>
      <c r="C173" s="93" t="s">
        <v>1099</v>
      </c>
      <c r="D173" s="94" t="s">
        <v>1740</v>
      </c>
    </row>
    <row r="174" spans="1:4">
      <c r="A174" s="2" t="s">
        <v>1165</v>
      </c>
      <c r="B174" s="95">
        <v>30000</v>
      </c>
      <c r="C174" s="95">
        <v>30000</v>
      </c>
      <c r="D174" s="120">
        <v>30000</v>
      </c>
    </row>
    <row r="175" spans="1:4">
      <c r="A175" t="s">
        <v>1166</v>
      </c>
      <c r="B175" s="95">
        <v>5000</v>
      </c>
      <c r="C175" s="95">
        <v>5000</v>
      </c>
      <c r="D175" s="120">
        <v>4913</v>
      </c>
    </row>
    <row r="176" spans="1:4">
      <c r="A176" s="2" t="s">
        <v>1768</v>
      </c>
      <c r="B176" s="95">
        <v>0</v>
      </c>
      <c r="C176" s="95">
        <v>0</v>
      </c>
      <c r="D176" s="120">
        <v>758</v>
      </c>
    </row>
    <row r="177" spans="1:4">
      <c r="A177" s="2" t="s">
        <v>1167</v>
      </c>
      <c r="B177" s="95">
        <v>10000</v>
      </c>
      <c r="C177" s="95">
        <v>9300</v>
      </c>
      <c r="D177" s="120">
        <v>7700</v>
      </c>
    </row>
    <row r="178" spans="1:4">
      <c r="A178" s="2" t="s">
        <v>1168</v>
      </c>
      <c r="B178" s="95">
        <v>5000</v>
      </c>
      <c r="C178" s="95">
        <v>5700</v>
      </c>
      <c r="D178" s="120">
        <v>300</v>
      </c>
    </row>
    <row r="179" spans="1:4" ht="13.5" thickBot="1">
      <c r="A179" s="92" t="s">
        <v>1169</v>
      </c>
      <c r="B179" s="110">
        <f>SUM(B174:B178)</f>
        <v>50000</v>
      </c>
      <c r="C179" s="110">
        <f>SUM(C174:C178)</f>
        <v>50000</v>
      </c>
      <c r="D179" s="281">
        <f>SUM(D174:D178)</f>
        <v>43671</v>
      </c>
    </row>
    <row r="180" spans="1:4" ht="13.5" thickTop="1">
      <c r="A180" s="70"/>
      <c r="B180" s="111"/>
      <c r="C180" s="111"/>
      <c r="D180" s="112"/>
    </row>
    <row r="181" spans="1:4">
      <c r="A181" s="108" t="s">
        <v>2</v>
      </c>
      <c r="B181" s="93" t="s">
        <v>1739</v>
      </c>
      <c r="C181" s="93" t="s">
        <v>1099</v>
      </c>
      <c r="D181" s="94" t="s">
        <v>1740</v>
      </c>
    </row>
    <row r="182" spans="1:4">
      <c r="A182" t="s">
        <v>1141</v>
      </c>
      <c r="B182" s="95">
        <v>250000</v>
      </c>
      <c r="C182" s="95">
        <v>245000</v>
      </c>
      <c r="D182" s="120">
        <v>231189.95</v>
      </c>
    </row>
    <row r="183" spans="1:4">
      <c r="A183" t="s">
        <v>1121</v>
      </c>
      <c r="B183" s="95">
        <v>30000</v>
      </c>
      <c r="C183" s="95">
        <v>30000</v>
      </c>
      <c r="D183" s="120">
        <v>26716.85</v>
      </c>
    </row>
    <row r="184" spans="1:4">
      <c r="A184" t="s">
        <v>1122</v>
      </c>
      <c r="B184" s="95">
        <v>3000</v>
      </c>
      <c r="C184" s="95">
        <v>3000</v>
      </c>
      <c r="D184" s="284">
        <v>725</v>
      </c>
    </row>
    <row r="185" spans="1:4">
      <c r="A185" t="s">
        <v>1124</v>
      </c>
      <c r="B185" s="95">
        <v>9400</v>
      </c>
      <c r="C185" s="95">
        <v>9400</v>
      </c>
      <c r="D185" s="120">
        <v>7989.84</v>
      </c>
    </row>
    <row r="186" spans="1:4">
      <c r="A186" t="s">
        <v>1123</v>
      </c>
      <c r="B186" s="95">
        <v>7100</v>
      </c>
      <c r="C186" s="95">
        <v>7100</v>
      </c>
      <c r="D186" s="120">
        <v>7127.24</v>
      </c>
    </row>
    <row r="187" spans="1:4">
      <c r="A187" t="s">
        <v>1151</v>
      </c>
      <c r="B187" s="95">
        <v>15000</v>
      </c>
      <c r="C187" s="95">
        <v>15000</v>
      </c>
      <c r="D187" s="120">
        <v>8555.1299999999992</v>
      </c>
    </row>
    <row r="188" spans="1:4">
      <c r="A188" t="s">
        <v>1170</v>
      </c>
      <c r="B188" s="95">
        <v>25000</v>
      </c>
      <c r="C188" s="95">
        <v>25000</v>
      </c>
      <c r="D188" s="120">
        <v>15843.65</v>
      </c>
    </row>
    <row r="189" spans="1:4">
      <c r="A189" s="2" t="s">
        <v>1769</v>
      </c>
      <c r="B189" s="95">
        <v>15000</v>
      </c>
      <c r="C189" s="95">
        <v>18000</v>
      </c>
      <c r="D189" s="120">
        <v>8000</v>
      </c>
    </row>
    <row r="190" spans="1:4">
      <c r="A190" t="s">
        <v>1171</v>
      </c>
      <c r="B190" s="95">
        <v>5000</v>
      </c>
      <c r="C190" s="95">
        <v>4000</v>
      </c>
      <c r="D190" s="120">
        <v>2720.18</v>
      </c>
    </row>
    <row r="191" spans="1:4">
      <c r="A191" t="s">
        <v>1172</v>
      </c>
      <c r="B191" s="95">
        <v>10000</v>
      </c>
      <c r="C191" s="95">
        <v>10000</v>
      </c>
      <c r="D191" s="120">
        <v>8556.25</v>
      </c>
    </row>
    <row r="192" spans="1:4">
      <c r="A192" t="s">
        <v>1173</v>
      </c>
      <c r="B192" s="95">
        <v>5000</v>
      </c>
      <c r="C192" s="95">
        <v>3000</v>
      </c>
      <c r="D192" s="120">
        <v>2423</v>
      </c>
    </row>
    <row r="193" spans="1:4">
      <c r="A193" s="2" t="s">
        <v>1174</v>
      </c>
      <c r="B193" s="101">
        <v>500</v>
      </c>
      <c r="C193" s="101">
        <v>500</v>
      </c>
      <c r="D193" s="120">
        <v>514</v>
      </c>
    </row>
    <row r="194" spans="1:4" ht="13.5" thickBot="1">
      <c r="A194" s="92" t="s">
        <v>1132</v>
      </c>
      <c r="B194" s="110">
        <f>SUM(B182:B193)</f>
        <v>375000</v>
      </c>
      <c r="C194" s="110">
        <f>SUM(C182:C193)</f>
        <v>370000</v>
      </c>
      <c r="D194" s="281">
        <f>SUM(D182:D193)</f>
        <v>320361.09000000003</v>
      </c>
    </row>
    <row r="195" spans="1:4" ht="13.5" thickTop="1">
      <c r="A195" s="70"/>
      <c r="B195" s="111"/>
      <c r="C195" s="111"/>
      <c r="D195" s="112"/>
    </row>
    <row r="196" spans="1:4">
      <c r="A196" s="108" t="s">
        <v>1175</v>
      </c>
      <c r="B196" s="93" t="s">
        <v>1739</v>
      </c>
      <c r="C196" s="93" t="s">
        <v>1099</v>
      </c>
      <c r="D196" s="94" t="s">
        <v>1740</v>
      </c>
    </row>
    <row r="197" spans="1:4">
      <c r="A197" t="s">
        <v>1141</v>
      </c>
      <c r="B197" s="95">
        <v>130000</v>
      </c>
      <c r="C197" s="95">
        <v>130000</v>
      </c>
      <c r="D197" s="120">
        <v>121985.84</v>
      </c>
    </row>
    <row r="198" spans="1:4">
      <c r="A198" t="s">
        <v>1121</v>
      </c>
      <c r="B198" s="95">
        <v>20000</v>
      </c>
      <c r="C198" s="95">
        <v>20000</v>
      </c>
      <c r="D198" s="120">
        <v>17668</v>
      </c>
    </row>
    <row r="199" spans="1:4">
      <c r="A199" t="s">
        <v>1122</v>
      </c>
      <c r="B199" s="95">
        <v>1000</v>
      </c>
      <c r="C199" s="95">
        <v>1000</v>
      </c>
      <c r="D199" s="120">
        <v>208.95</v>
      </c>
    </row>
    <row r="200" spans="1:4">
      <c r="A200" t="s">
        <v>1124</v>
      </c>
      <c r="B200" s="95">
        <v>6000</v>
      </c>
      <c r="C200" s="95">
        <v>6000</v>
      </c>
      <c r="D200" s="120">
        <v>4266.04</v>
      </c>
    </row>
    <row r="201" spans="1:4">
      <c r="A201" t="s">
        <v>1131</v>
      </c>
      <c r="B201" s="101">
        <v>18000</v>
      </c>
      <c r="C201" s="101">
        <v>18000</v>
      </c>
      <c r="D201" s="120">
        <v>18000</v>
      </c>
    </row>
    <row r="202" spans="1:4" ht="13.5" thickBot="1">
      <c r="A202" s="92" t="s">
        <v>1132</v>
      </c>
      <c r="B202" s="110">
        <f>SUM(B197:B201)</f>
        <v>175000</v>
      </c>
      <c r="C202" s="110">
        <f>SUM(C197:C201)</f>
        <v>175000</v>
      </c>
      <c r="D202" s="281">
        <f>SUM(D197:D201)</f>
        <v>162128.83000000002</v>
      </c>
    </row>
    <row r="203" spans="1:4" ht="13.5" thickTop="1">
      <c r="A203" s="108" t="s">
        <v>1176</v>
      </c>
      <c r="B203" s="93" t="s">
        <v>1739</v>
      </c>
      <c r="C203" s="93" t="s">
        <v>1099</v>
      </c>
      <c r="D203" s="94" t="s">
        <v>1740</v>
      </c>
    </row>
    <row r="204" spans="1:4">
      <c r="A204" s="2" t="s">
        <v>1770</v>
      </c>
      <c r="B204" s="95">
        <v>200000</v>
      </c>
      <c r="C204" s="95">
        <v>240919.94</v>
      </c>
      <c r="D204" s="286">
        <v>223224.34</v>
      </c>
    </row>
    <row r="205" spans="1:4">
      <c r="A205" s="2" t="s">
        <v>1771</v>
      </c>
      <c r="B205" s="95">
        <v>487000</v>
      </c>
      <c r="C205" s="95">
        <v>460000</v>
      </c>
      <c r="D205" s="120">
        <v>868484.75</v>
      </c>
    </row>
    <row r="206" spans="1:4">
      <c r="A206" s="2" t="s">
        <v>1772</v>
      </c>
      <c r="B206" s="95">
        <v>120000</v>
      </c>
      <c r="C206" s="95">
        <v>174000</v>
      </c>
      <c r="D206" s="120">
        <v>0</v>
      </c>
    </row>
    <row r="207" spans="1:4">
      <c r="A207" s="2" t="s">
        <v>1773</v>
      </c>
      <c r="B207" s="95">
        <v>0</v>
      </c>
      <c r="C207" s="95">
        <v>56660</v>
      </c>
      <c r="D207" s="120">
        <v>0</v>
      </c>
    </row>
    <row r="208" spans="1:4">
      <c r="A208" t="s">
        <v>1774</v>
      </c>
      <c r="B208" s="101">
        <v>100000</v>
      </c>
      <c r="C208" s="96">
        <v>100000</v>
      </c>
      <c r="D208" s="120">
        <v>0</v>
      </c>
    </row>
    <row r="209" spans="1:4" ht="13.5" thickBot="1">
      <c r="A209" s="92" t="s">
        <v>1177</v>
      </c>
      <c r="B209" s="110">
        <f>SUM(B204:B208)</f>
        <v>907000</v>
      </c>
      <c r="C209" s="110">
        <f>SUM(C204:C208)</f>
        <v>1031579.94</v>
      </c>
      <c r="D209" s="281">
        <f>SUM(D204:D208)</f>
        <v>1091709.0900000001</v>
      </c>
    </row>
    <row r="210" spans="1:4" ht="13.5" thickTop="1">
      <c r="A210" t="s">
        <v>33</v>
      </c>
      <c r="B210" s="96"/>
      <c r="C210" s="96"/>
      <c r="D210" s="121"/>
    </row>
    <row r="211" spans="1:4">
      <c r="B211" s="105"/>
      <c r="C211" s="105"/>
      <c r="D211" s="122"/>
    </row>
    <row r="212" spans="1:4">
      <c r="A212" s="2"/>
      <c r="B212" s="105"/>
      <c r="C212" s="105"/>
      <c r="D212" s="122"/>
    </row>
    <row r="213" spans="1:4">
      <c r="A213" s="2"/>
      <c r="B213" s="105"/>
      <c r="C213" s="105"/>
      <c r="D213" s="122"/>
    </row>
  </sheetData>
  <pageMargins left="0.7" right="0.7" top="0.75" bottom="0.75" header="0.3" footer="0.3"/>
  <pageSetup orientation="portrait" horizontalDpi="4294967293" vertic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4"/>
  <sheetViews>
    <sheetView workbookViewId="0">
      <selection activeCell="R23" sqref="R23"/>
    </sheetView>
  </sheetViews>
  <sheetFormatPr defaultRowHeight="12.75"/>
  <cols>
    <col min="1" max="1" width="46.42578125" bestFit="1" customWidth="1"/>
    <col min="2" max="2" width="8.7109375" customWidth="1"/>
    <col min="3" max="5" width="14.28515625" hidden="1" customWidth="1"/>
    <col min="6" max="6" width="14.28515625" customWidth="1"/>
    <col min="7" max="7" width="10.5703125" style="59" bestFit="1" customWidth="1"/>
    <col min="8" max="8" width="21.28515625" customWidth="1"/>
    <col min="256" max="256" width="46.42578125" bestFit="1" customWidth="1"/>
    <col min="257" max="257" width="8.7109375" customWidth="1"/>
    <col min="258" max="262" width="14.28515625" customWidth="1"/>
    <col min="512" max="512" width="46.42578125" bestFit="1" customWidth="1"/>
    <col min="513" max="513" width="8.7109375" customWidth="1"/>
    <col min="514" max="518" width="14.28515625" customWidth="1"/>
    <col min="768" max="768" width="46.42578125" bestFit="1" customWidth="1"/>
    <col min="769" max="769" width="8.7109375" customWidth="1"/>
    <col min="770" max="774" width="14.28515625" customWidth="1"/>
    <col min="1024" max="1024" width="46.42578125" bestFit="1" customWidth="1"/>
    <col min="1025" max="1025" width="8.7109375" customWidth="1"/>
    <col min="1026" max="1030" width="14.28515625" customWidth="1"/>
    <col min="1280" max="1280" width="46.42578125" bestFit="1" customWidth="1"/>
    <col min="1281" max="1281" width="8.7109375" customWidth="1"/>
    <col min="1282" max="1286" width="14.28515625" customWidth="1"/>
    <col min="1536" max="1536" width="46.42578125" bestFit="1" customWidth="1"/>
    <col min="1537" max="1537" width="8.7109375" customWidth="1"/>
    <col min="1538" max="1542" width="14.28515625" customWidth="1"/>
    <col min="1792" max="1792" width="46.42578125" bestFit="1" customWidth="1"/>
    <col min="1793" max="1793" width="8.7109375" customWidth="1"/>
    <col min="1794" max="1798" width="14.28515625" customWidth="1"/>
    <col min="2048" max="2048" width="46.42578125" bestFit="1" customWidth="1"/>
    <col min="2049" max="2049" width="8.7109375" customWidth="1"/>
    <col min="2050" max="2054" width="14.28515625" customWidth="1"/>
    <col min="2304" max="2304" width="46.42578125" bestFit="1" customWidth="1"/>
    <col min="2305" max="2305" width="8.7109375" customWidth="1"/>
    <col min="2306" max="2310" width="14.28515625" customWidth="1"/>
    <col min="2560" max="2560" width="46.42578125" bestFit="1" customWidth="1"/>
    <col min="2561" max="2561" width="8.7109375" customWidth="1"/>
    <col min="2562" max="2566" width="14.28515625" customWidth="1"/>
    <col min="2816" max="2816" width="46.42578125" bestFit="1" customWidth="1"/>
    <col min="2817" max="2817" width="8.7109375" customWidth="1"/>
    <col min="2818" max="2822" width="14.28515625" customWidth="1"/>
    <col min="3072" max="3072" width="46.42578125" bestFit="1" customWidth="1"/>
    <col min="3073" max="3073" width="8.7109375" customWidth="1"/>
    <col min="3074" max="3078" width="14.28515625" customWidth="1"/>
    <col min="3328" max="3328" width="46.42578125" bestFit="1" customWidth="1"/>
    <col min="3329" max="3329" width="8.7109375" customWidth="1"/>
    <col min="3330" max="3334" width="14.28515625" customWidth="1"/>
    <col min="3584" max="3584" width="46.42578125" bestFit="1" customWidth="1"/>
    <col min="3585" max="3585" width="8.7109375" customWidth="1"/>
    <col min="3586" max="3590" width="14.28515625" customWidth="1"/>
    <col min="3840" max="3840" width="46.42578125" bestFit="1" customWidth="1"/>
    <col min="3841" max="3841" width="8.7109375" customWidth="1"/>
    <col min="3842" max="3846" width="14.28515625" customWidth="1"/>
    <col min="4096" max="4096" width="46.42578125" bestFit="1" customWidth="1"/>
    <col min="4097" max="4097" width="8.7109375" customWidth="1"/>
    <col min="4098" max="4102" width="14.28515625" customWidth="1"/>
    <col min="4352" max="4352" width="46.42578125" bestFit="1" customWidth="1"/>
    <col min="4353" max="4353" width="8.7109375" customWidth="1"/>
    <col min="4354" max="4358" width="14.28515625" customWidth="1"/>
    <col min="4608" max="4608" width="46.42578125" bestFit="1" customWidth="1"/>
    <col min="4609" max="4609" width="8.7109375" customWidth="1"/>
    <col min="4610" max="4614" width="14.28515625" customWidth="1"/>
    <col min="4864" max="4864" width="46.42578125" bestFit="1" customWidth="1"/>
    <col min="4865" max="4865" width="8.7109375" customWidth="1"/>
    <col min="4866" max="4870" width="14.28515625" customWidth="1"/>
    <col min="5120" max="5120" width="46.42578125" bestFit="1" customWidth="1"/>
    <col min="5121" max="5121" width="8.7109375" customWidth="1"/>
    <col min="5122" max="5126" width="14.28515625" customWidth="1"/>
    <col min="5376" max="5376" width="46.42578125" bestFit="1" customWidth="1"/>
    <col min="5377" max="5377" width="8.7109375" customWidth="1"/>
    <col min="5378" max="5382" width="14.28515625" customWidth="1"/>
    <col min="5632" max="5632" width="46.42578125" bestFit="1" customWidth="1"/>
    <col min="5633" max="5633" width="8.7109375" customWidth="1"/>
    <col min="5634" max="5638" width="14.28515625" customWidth="1"/>
    <col min="5888" max="5888" width="46.42578125" bestFit="1" customWidth="1"/>
    <col min="5889" max="5889" width="8.7109375" customWidth="1"/>
    <col min="5890" max="5894" width="14.28515625" customWidth="1"/>
    <col min="6144" max="6144" width="46.42578125" bestFit="1" customWidth="1"/>
    <col min="6145" max="6145" width="8.7109375" customWidth="1"/>
    <col min="6146" max="6150" width="14.28515625" customWidth="1"/>
    <col min="6400" max="6400" width="46.42578125" bestFit="1" customWidth="1"/>
    <col min="6401" max="6401" width="8.7109375" customWidth="1"/>
    <col min="6402" max="6406" width="14.28515625" customWidth="1"/>
    <col min="6656" max="6656" width="46.42578125" bestFit="1" customWidth="1"/>
    <col min="6657" max="6657" width="8.7109375" customWidth="1"/>
    <col min="6658" max="6662" width="14.28515625" customWidth="1"/>
    <col min="6912" max="6912" width="46.42578125" bestFit="1" customWidth="1"/>
    <col min="6913" max="6913" width="8.7109375" customWidth="1"/>
    <col min="6914" max="6918" width="14.28515625" customWidth="1"/>
    <col min="7168" max="7168" width="46.42578125" bestFit="1" customWidth="1"/>
    <col min="7169" max="7169" width="8.7109375" customWidth="1"/>
    <col min="7170" max="7174" width="14.28515625" customWidth="1"/>
    <col min="7424" max="7424" width="46.42578125" bestFit="1" customWidth="1"/>
    <col min="7425" max="7425" width="8.7109375" customWidth="1"/>
    <col min="7426" max="7430" width="14.28515625" customWidth="1"/>
    <col min="7680" max="7680" width="46.42578125" bestFit="1" customWidth="1"/>
    <col min="7681" max="7681" width="8.7109375" customWidth="1"/>
    <col min="7682" max="7686" width="14.28515625" customWidth="1"/>
    <col min="7936" max="7936" width="46.42578125" bestFit="1" customWidth="1"/>
    <col min="7937" max="7937" width="8.7109375" customWidth="1"/>
    <col min="7938" max="7942" width="14.28515625" customWidth="1"/>
    <col min="8192" max="8192" width="46.42578125" bestFit="1" customWidth="1"/>
    <col min="8193" max="8193" width="8.7109375" customWidth="1"/>
    <col min="8194" max="8198" width="14.28515625" customWidth="1"/>
    <col min="8448" max="8448" width="46.42578125" bestFit="1" customWidth="1"/>
    <col min="8449" max="8449" width="8.7109375" customWidth="1"/>
    <col min="8450" max="8454" width="14.28515625" customWidth="1"/>
    <col min="8704" max="8704" width="46.42578125" bestFit="1" customWidth="1"/>
    <col min="8705" max="8705" width="8.7109375" customWidth="1"/>
    <col min="8706" max="8710" width="14.28515625" customWidth="1"/>
    <col min="8960" max="8960" width="46.42578125" bestFit="1" customWidth="1"/>
    <col min="8961" max="8961" width="8.7109375" customWidth="1"/>
    <col min="8962" max="8966" width="14.28515625" customWidth="1"/>
    <col min="9216" max="9216" width="46.42578125" bestFit="1" customWidth="1"/>
    <col min="9217" max="9217" width="8.7109375" customWidth="1"/>
    <col min="9218" max="9222" width="14.28515625" customWidth="1"/>
    <col min="9472" max="9472" width="46.42578125" bestFit="1" customWidth="1"/>
    <col min="9473" max="9473" width="8.7109375" customWidth="1"/>
    <col min="9474" max="9478" width="14.28515625" customWidth="1"/>
    <col min="9728" max="9728" width="46.42578125" bestFit="1" customWidth="1"/>
    <col min="9729" max="9729" width="8.7109375" customWidth="1"/>
    <col min="9730" max="9734" width="14.28515625" customWidth="1"/>
    <col min="9984" max="9984" width="46.42578125" bestFit="1" customWidth="1"/>
    <col min="9985" max="9985" width="8.7109375" customWidth="1"/>
    <col min="9986" max="9990" width="14.28515625" customWidth="1"/>
    <col min="10240" max="10240" width="46.42578125" bestFit="1" customWidth="1"/>
    <col min="10241" max="10241" width="8.7109375" customWidth="1"/>
    <col min="10242" max="10246" width="14.28515625" customWidth="1"/>
    <col min="10496" max="10496" width="46.42578125" bestFit="1" customWidth="1"/>
    <col min="10497" max="10497" width="8.7109375" customWidth="1"/>
    <col min="10498" max="10502" width="14.28515625" customWidth="1"/>
    <col min="10752" max="10752" width="46.42578125" bestFit="1" customWidth="1"/>
    <col min="10753" max="10753" width="8.7109375" customWidth="1"/>
    <col min="10754" max="10758" width="14.28515625" customWidth="1"/>
    <col min="11008" max="11008" width="46.42578125" bestFit="1" customWidth="1"/>
    <col min="11009" max="11009" width="8.7109375" customWidth="1"/>
    <col min="11010" max="11014" width="14.28515625" customWidth="1"/>
    <col min="11264" max="11264" width="46.42578125" bestFit="1" customWidth="1"/>
    <col min="11265" max="11265" width="8.7109375" customWidth="1"/>
    <col min="11266" max="11270" width="14.28515625" customWidth="1"/>
    <col min="11520" max="11520" width="46.42578125" bestFit="1" customWidth="1"/>
    <col min="11521" max="11521" width="8.7109375" customWidth="1"/>
    <col min="11522" max="11526" width="14.28515625" customWidth="1"/>
    <col min="11776" max="11776" width="46.42578125" bestFit="1" customWidth="1"/>
    <col min="11777" max="11777" width="8.7109375" customWidth="1"/>
    <col min="11778" max="11782" width="14.28515625" customWidth="1"/>
    <col min="12032" max="12032" width="46.42578125" bestFit="1" customWidth="1"/>
    <col min="12033" max="12033" width="8.7109375" customWidth="1"/>
    <col min="12034" max="12038" width="14.28515625" customWidth="1"/>
    <col min="12288" max="12288" width="46.42578125" bestFit="1" customWidth="1"/>
    <col min="12289" max="12289" width="8.7109375" customWidth="1"/>
    <col min="12290" max="12294" width="14.28515625" customWidth="1"/>
    <col min="12544" max="12544" width="46.42578125" bestFit="1" customWidth="1"/>
    <col min="12545" max="12545" width="8.7109375" customWidth="1"/>
    <col min="12546" max="12550" width="14.28515625" customWidth="1"/>
    <col min="12800" max="12800" width="46.42578125" bestFit="1" customWidth="1"/>
    <col min="12801" max="12801" width="8.7109375" customWidth="1"/>
    <col min="12802" max="12806" width="14.28515625" customWidth="1"/>
    <col min="13056" max="13056" width="46.42578125" bestFit="1" customWidth="1"/>
    <col min="13057" max="13057" width="8.7109375" customWidth="1"/>
    <col min="13058" max="13062" width="14.28515625" customWidth="1"/>
    <col min="13312" max="13312" width="46.42578125" bestFit="1" customWidth="1"/>
    <col min="13313" max="13313" width="8.7109375" customWidth="1"/>
    <col min="13314" max="13318" width="14.28515625" customWidth="1"/>
    <col min="13568" max="13568" width="46.42578125" bestFit="1" customWidth="1"/>
    <col min="13569" max="13569" width="8.7109375" customWidth="1"/>
    <col min="13570" max="13574" width="14.28515625" customWidth="1"/>
    <col min="13824" max="13824" width="46.42578125" bestFit="1" customWidth="1"/>
    <col min="13825" max="13825" width="8.7109375" customWidth="1"/>
    <col min="13826" max="13830" width="14.28515625" customWidth="1"/>
    <col min="14080" max="14080" width="46.42578125" bestFit="1" customWidth="1"/>
    <col min="14081" max="14081" width="8.7109375" customWidth="1"/>
    <col min="14082" max="14086" width="14.28515625" customWidth="1"/>
    <col min="14336" max="14336" width="46.42578125" bestFit="1" customWidth="1"/>
    <col min="14337" max="14337" width="8.7109375" customWidth="1"/>
    <col min="14338" max="14342" width="14.28515625" customWidth="1"/>
    <col min="14592" max="14592" width="46.42578125" bestFit="1" customWidth="1"/>
    <col min="14593" max="14593" width="8.7109375" customWidth="1"/>
    <col min="14594" max="14598" width="14.28515625" customWidth="1"/>
    <col min="14848" max="14848" width="46.42578125" bestFit="1" customWidth="1"/>
    <col min="14849" max="14849" width="8.7109375" customWidth="1"/>
    <col min="14850" max="14854" width="14.28515625" customWidth="1"/>
    <col min="15104" max="15104" width="46.42578125" bestFit="1" customWidth="1"/>
    <col min="15105" max="15105" width="8.7109375" customWidth="1"/>
    <col min="15106" max="15110" width="14.28515625" customWidth="1"/>
    <col min="15360" max="15360" width="46.42578125" bestFit="1" customWidth="1"/>
    <col min="15361" max="15361" width="8.7109375" customWidth="1"/>
    <col min="15362" max="15366" width="14.28515625" customWidth="1"/>
    <col min="15616" max="15616" width="46.42578125" bestFit="1" customWidth="1"/>
    <col min="15617" max="15617" width="8.7109375" customWidth="1"/>
    <col min="15618" max="15622" width="14.28515625" customWidth="1"/>
    <col min="15872" max="15872" width="46.42578125" bestFit="1" customWidth="1"/>
    <col min="15873" max="15873" width="8.7109375" customWidth="1"/>
    <col min="15874" max="15878" width="14.28515625" customWidth="1"/>
    <col min="16128" max="16128" width="46.42578125" bestFit="1" customWidth="1"/>
    <col min="16129" max="16129" width="8.7109375" customWidth="1"/>
    <col min="16130" max="16134" width="14.28515625" customWidth="1"/>
  </cols>
  <sheetData>
    <row r="3" spans="1:8" ht="15">
      <c r="A3" s="35" t="s">
        <v>1200</v>
      </c>
      <c r="B3" s="34"/>
      <c r="C3" s="34"/>
      <c r="D3" s="34"/>
      <c r="E3" s="34"/>
      <c r="F3" s="34"/>
    </row>
    <row r="4" spans="1:8" ht="15">
      <c r="A4" s="341" t="s">
        <v>1113</v>
      </c>
      <c r="B4" s="341"/>
      <c r="C4" s="341"/>
      <c r="D4" s="341"/>
      <c r="E4" s="341"/>
      <c r="F4" s="341"/>
    </row>
    <row r="5" spans="1:8" ht="15">
      <c r="A5" s="91"/>
      <c r="B5" s="91"/>
      <c r="C5" s="91"/>
      <c r="D5" s="91"/>
      <c r="E5" s="91"/>
      <c r="F5" s="91"/>
    </row>
    <row r="6" spans="1:8" ht="13.5" thickBot="1">
      <c r="C6" s="17" t="s">
        <v>251</v>
      </c>
      <c r="D6" s="17" t="s">
        <v>251</v>
      </c>
      <c r="E6" s="17" t="s">
        <v>251</v>
      </c>
      <c r="F6" s="17" t="s">
        <v>251</v>
      </c>
      <c r="G6" s="60" t="s">
        <v>44</v>
      </c>
    </row>
    <row r="7" spans="1:8" ht="13.5" thickTop="1">
      <c r="A7" s="39"/>
      <c r="B7" s="40"/>
      <c r="C7" s="41" t="s">
        <v>55</v>
      </c>
      <c r="D7" s="41" t="s">
        <v>55</v>
      </c>
      <c r="E7" s="41" t="s">
        <v>55</v>
      </c>
      <c r="F7" s="41" t="s">
        <v>56</v>
      </c>
      <c r="G7" s="61"/>
    </row>
    <row r="8" spans="1:8" ht="13.5" thickBot="1">
      <c r="A8" s="42"/>
      <c r="B8" s="43"/>
      <c r="C8" s="44" t="s">
        <v>58</v>
      </c>
      <c r="D8" s="44" t="s">
        <v>57</v>
      </c>
      <c r="E8" s="44" t="s">
        <v>59</v>
      </c>
      <c r="F8" s="44" t="s">
        <v>57</v>
      </c>
      <c r="G8" s="62" t="s">
        <v>57</v>
      </c>
      <c r="H8" s="55" t="s">
        <v>252</v>
      </c>
    </row>
    <row r="9" spans="1:8" ht="13.5" thickTop="1">
      <c r="A9" s="45" t="s">
        <v>60</v>
      </c>
      <c r="B9" s="46"/>
      <c r="C9" s="47"/>
      <c r="D9" s="47"/>
      <c r="E9" s="47"/>
      <c r="F9" s="47"/>
    </row>
    <row r="10" spans="1:8">
      <c r="A10" s="131" t="s">
        <v>1201</v>
      </c>
      <c r="B10" s="46" t="s">
        <v>1207</v>
      </c>
      <c r="C10" s="47">
        <v>15679</v>
      </c>
      <c r="D10" s="47">
        <v>0</v>
      </c>
      <c r="E10" s="47">
        <f t="shared" ref="E10:E17" si="0">D10-C10</f>
        <v>-15679</v>
      </c>
      <c r="F10" s="47">
        <v>0</v>
      </c>
      <c r="G10" s="59">
        <f>'Dept 13'!G25</f>
        <v>100000</v>
      </c>
      <c r="H10" t="s">
        <v>1263</v>
      </c>
    </row>
    <row r="11" spans="1:8">
      <c r="A11" s="131" t="s">
        <v>1202</v>
      </c>
      <c r="B11" s="46" t="s">
        <v>1208</v>
      </c>
      <c r="C11" s="47">
        <v>1500</v>
      </c>
      <c r="D11" s="47">
        <v>0</v>
      </c>
      <c r="E11" s="47">
        <f t="shared" si="0"/>
        <v>-1500</v>
      </c>
      <c r="F11" s="47">
        <v>0</v>
      </c>
      <c r="G11" s="59">
        <v>1500</v>
      </c>
    </row>
    <row r="12" spans="1:8">
      <c r="A12" s="131" t="s">
        <v>1203</v>
      </c>
      <c r="B12" s="46" t="s">
        <v>1209</v>
      </c>
      <c r="C12" s="47">
        <v>9500</v>
      </c>
      <c r="D12" s="47">
        <v>0</v>
      </c>
      <c r="E12" s="47">
        <f t="shared" si="0"/>
        <v>-9500</v>
      </c>
      <c r="F12" s="47">
        <v>0</v>
      </c>
      <c r="G12" s="59">
        <v>0</v>
      </c>
    </row>
    <row r="13" spans="1:8">
      <c r="A13" s="131" t="s">
        <v>1864</v>
      </c>
      <c r="B13" s="46" t="s">
        <v>1210</v>
      </c>
      <c r="C13" s="47">
        <v>6000</v>
      </c>
      <c r="D13" s="47">
        <v>0</v>
      </c>
      <c r="E13" s="47">
        <f t="shared" si="0"/>
        <v>-6000</v>
      </c>
      <c r="F13" s="47">
        <v>0</v>
      </c>
      <c r="G13" s="59">
        <v>0</v>
      </c>
    </row>
    <row r="14" spans="1:8">
      <c r="A14" s="131" t="s">
        <v>1204</v>
      </c>
      <c r="B14" s="46" t="s">
        <v>1211</v>
      </c>
      <c r="C14" s="47">
        <v>9553.4</v>
      </c>
      <c r="D14" s="47">
        <v>0</v>
      </c>
      <c r="E14" s="47">
        <f t="shared" si="0"/>
        <v>-9553.4</v>
      </c>
      <c r="F14" s="47">
        <v>0</v>
      </c>
      <c r="G14" s="59">
        <v>5000</v>
      </c>
    </row>
    <row r="15" spans="1:8">
      <c r="A15" s="131" t="s">
        <v>1205</v>
      </c>
      <c r="B15" s="46" t="s">
        <v>1212</v>
      </c>
      <c r="C15" s="47">
        <v>1500</v>
      </c>
      <c r="D15" s="47">
        <v>0</v>
      </c>
      <c r="E15" s="47">
        <f t="shared" si="0"/>
        <v>-1500</v>
      </c>
      <c r="F15" s="47">
        <v>0</v>
      </c>
      <c r="G15" s="59">
        <v>1500</v>
      </c>
    </row>
    <row r="16" spans="1:8">
      <c r="A16" s="131" t="s">
        <v>721</v>
      </c>
      <c r="B16" s="46" t="s">
        <v>1213</v>
      </c>
      <c r="C16" s="47">
        <v>500</v>
      </c>
      <c r="D16" s="47">
        <v>0</v>
      </c>
      <c r="E16" s="47">
        <f t="shared" si="0"/>
        <v>-500</v>
      </c>
      <c r="F16" s="47">
        <v>0</v>
      </c>
      <c r="G16" s="59">
        <v>0</v>
      </c>
    </row>
    <row r="17" spans="1:8">
      <c r="A17" s="131" t="s">
        <v>1206</v>
      </c>
      <c r="B17" s="46" t="s">
        <v>1214</v>
      </c>
      <c r="C17" s="47">
        <v>6000</v>
      </c>
      <c r="D17" s="47">
        <v>0</v>
      </c>
      <c r="E17" s="47">
        <f t="shared" si="0"/>
        <v>-6000</v>
      </c>
      <c r="F17" s="47">
        <v>0</v>
      </c>
      <c r="G17" s="59">
        <v>0</v>
      </c>
    </row>
    <row r="18" spans="1:8">
      <c r="A18" s="30"/>
      <c r="B18" s="30"/>
      <c r="C18" s="56"/>
      <c r="D18" s="56"/>
      <c r="E18" s="56"/>
      <c r="F18" s="56"/>
    </row>
    <row r="19" spans="1:8">
      <c r="A19" s="49" t="s">
        <v>115</v>
      </c>
      <c r="B19" s="50"/>
      <c r="C19" s="57">
        <f>SUM(C10:C17)</f>
        <v>50232.4</v>
      </c>
      <c r="D19" s="57">
        <f>SUM(D10:D17)</f>
        <v>0</v>
      </c>
      <c r="E19" s="57">
        <f>SUM(E10:E17)</f>
        <v>-50232.4</v>
      </c>
      <c r="F19" s="57">
        <f>SUM(F10:F17)</f>
        <v>0</v>
      </c>
      <c r="G19" s="57">
        <f>SUM(G10:G17)</f>
        <v>108000</v>
      </c>
    </row>
    <row r="20" spans="1:8">
      <c r="A20" s="46"/>
      <c r="C20" s="56"/>
      <c r="D20" s="56"/>
      <c r="E20" s="56"/>
      <c r="F20" s="56"/>
    </row>
    <row r="21" spans="1:8">
      <c r="A21" s="45" t="s">
        <v>116</v>
      </c>
      <c r="C21" s="56"/>
      <c r="D21" s="56"/>
      <c r="E21" s="56"/>
      <c r="F21" s="56"/>
    </row>
    <row r="22" spans="1:8">
      <c r="A22" s="30" t="s">
        <v>260</v>
      </c>
      <c r="B22" s="30" t="s">
        <v>1222</v>
      </c>
      <c r="C22" s="56">
        <v>71.31</v>
      </c>
      <c r="D22" s="47">
        <v>0</v>
      </c>
      <c r="E22" s="56">
        <f t="shared" ref="E22:E29" si="1">D22-C22</f>
        <v>-71.31</v>
      </c>
      <c r="F22" s="47">
        <v>0</v>
      </c>
      <c r="G22" s="59">
        <v>100</v>
      </c>
    </row>
    <row r="23" spans="1:8">
      <c r="A23" s="30" t="s">
        <v>1215</v>
      </c>
      <c r="B23" s="30" t="s">
        <v>1223</v>
      </c>
      <c r="C23" s="56">
        <v>300</v>
      </c>
      <c r="D23" s="47">
        <v>0</v>
      </c>
      <c r="E23" s="56">
        <f t="shared" si="1"/>
        <v>-300</v>
      </c>
      <c r="F23" s="47">
        <v>0</v>
      </c>
      <c r="G23" s="59">
        <v>500</v>
      </c>
    </row>
    <row r="24" spans="1:8">
      <c r="A24" s="30" t="s">
        <v>1216</v>
      </c>
      <c r="B24" s="30" t="s">
        <v>1224</v>
      </c>
      <c r="C24" s="56">
        <v>17764.73</v>
      </c>
      <c r="D24" s="47">
        <v>0</v>
      </c>
      <c r="E24" s="56">
        <f t="shared" si="1"/>
        <v>-17764.73</v>
      </c>
      <c r="F24" s="47">
        <v>0</v>
      </c>
      <c r="G24" s="59">
        <v>90000</v>
      </c>
      <c r="H24" t="s">
        <v>1264</v>
      </c>
    </row>
    <row r="25" spans="1:8">
      <c r="A25" s="30" t="s">
        <v>1217</v>
      </c>
      <c r="B25" s="30" t="s">
        <v>1225</v>
      </c>
      <c r="C25" s="56">
        <v>7675</v>
      </c>
      <c r="D25" s="47">
        <v>0</v>
      </c>
      <c r="E25" s="56">
        <f t="shared" si="1"/>
        <v>-7675</v>
      </c>
      <c r="F25" s="47">
        <v>0</v>
      </c>
      <c r="G25" s="59">
        <v>5000</v>
      </c>
    </row>
    <row r="26" spans="1:8">
      <c r="A26" s="30" t="s">
        <v>1218</v>
      </c>
      <c r="B26" s="30" t="s">
        <v>1226</v>
      </c>
      <c r="C26" s="56">
        <v>5172</v>
      </c>
      <c r="D26" s="47">
        <v>0</v>
      </c>
      <c r="E26" s="56">
        <f t="shared" si="1"/>
        <v>-5172</v>
      </c>
      <c r="F26" s="47">
        <v>0</v>
      </c>
      <c r="G26" s="59">
        <v>6000</v>
      </c>
    </row>
    <row r="27" spans="1:8">
      <c r="A27" s="30" t="s">
        <v>1219</v>
      </c>
      <c r="B27" s="30" t="s">
        <v>1227</v>
      </c>
      <c r="C27" s="56">
        <v>6591.9</v>
      </c>
      <c r="D27" s="47">
        <v>0</v>
      </c>
      <c r="E27" s="56">
        <f t="shared" si="1"/>
        <v>-6591.9</v>
      </c>
      <c r="F27" s="47">
        <v>0</v>
      </c>
      <c r="G27" s="59">
        <v>5900</v>
      </c>
    </row>
    <row r="28" spans="1:8">
      <c r="A28" s="30" t="s">
        <v>1220</v>
      </c>
      <c r="B28" s="30" t="s">
        <v>1228</v>
      </c>
      <c r="C28" s="56">
        <v>5871.48</v>
      </c>
      <c r="D28" s="47">
        <v>0</v>
      </c>
      <c r="E28" s="56">
        <f t="shared" si="1"/>
        <v>-5871.48</v>
      </c>
      <c r="F28" s="47">
        <v>0</v>
      </c>
      <c r="G28" s="59">
        <v>500</v>
      </c>
    </row>
    <row r="29" spans="1:8">
      <c r="A29" s="30" t="s">
        <v>1221</v>
      </c>
      <c r="B29" s="30" t="s">
        <v>1229</v>
      </c>
      <c r="C29" s="56">
        <v>3150</v>
      </c>
      <c r="D29" s="47">
        <v>0</v>
      </c>
      <c r="E29" s="56">
        <f t="shared" si="1"/>
        <v>-3150</v>
      </c>
      <c r="F29" s="47">
        <v>0</v>
      </c>
      <c r="G29" s="59">
        <v>0</v>
      </c>
    </row>
    <row r="30" spans="1:8">
      <c r="C30" s="56"/>
      <c r="D30" s="56"/>
      <c r="E30" s="56"/>
      <c r="F30" s="56"/>
    </row>
    <row r="31" spans="1:8">
      <c r="A31" s="49" t="s">
        <v>249</v>
      </c>
      <c r="B31" s="52"/>
      <c r="C31" s="57">
        <f>SUM(C22:C30)</f>
        <v>46596.42</v>
      </c>
      <c r="D31" s="57">
        <f>SUM(D22:D30)</f>
        <v>0</v>
      </c>
      <c r="E31" s="57">
        <f>SUM(E22:E30)</f>
        <v>-46596.42</v>
      </c>
      <c r="F31" s="57">
        <f>SUM(F22:F30)</f>
        <v>0</v>
      </c>
      <c r="G31" s="57">
        <f>SUM(G22:G30)</f>
        <v>108000</v>
      </c>
    </row>
    <row r="32" spans="1:8">
      <c r="C32" s="56"/>
      <c r="D32" s="56"/>
      <c r="E32" s="56"/>
      <c r="F32" s="56"/>
    </row>
    <row r="33" spans="1:7" ht="13.5" thickBot="1">
      <c r="A33" s="43" t="s">
        <v>250</v>
      </c>
      <c r="B33" s="53"/>
      <c r="C33" s="54">
        <f>C19-C31</f>
        <v>3635.9800000000032</v>
      </c>
      <c r="D33" s="54">
        <f>D19-D31</f>
        <v>0</v>
      </c>
      <c r="E33" s="54">
        <f>E19-E31</f>
        <v>-3635.9800000000032</v>
      </c>
      <c r="F33" s="54">
        <f>F19-F31</f>
        <v>0</v>
      </c>
      <c r="G33" s="54">
        <f>G19-G31</f>
        <v>0</v>
      </c>
    </row>
    <row r="34" spans="1:7" ht="13.5" thickTop="1"/>
  </sheetData>
  <mergeCells count="1">
    <mergeCell ref="A4:F4"/>
  </mergeCells>
  <pageMargins left="0.7" right="0.7" top="0.75" bottom="0.75" header="0.3" footer="0.3"/>
  <pageSetup orientation="landscape" horizontalDpi="4294967293" vertic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6"/>
  <sheetViews>
    <sheetView workbookViewId="0">
      <selection activeCell="G23" sqref="G23"/>
    </sheetView>
  </sheetViews>
  <sheetFormatPr defaultRowHeight="12.75"/>
  <cols>
    <col min="1" max="1" width="46.42578125" bestFit="1" customWidth="1"/>
    <col min="2" max="2" width="8.7109375" customWidth="1"/>
    <col min="3" max="5" width="14.28515625" hidden="1" customWidth="1"/>
    <col min="6" max="6" width="14.28515625" customWidth="1"/>
    <col min="7" max="7" width="10.5703125" style="59" bestFit="1" customWidth="1"/>
    <col min="8" max="8" width="29.5703125" bestFit="1" customWidth="1"/>
    <col min="256" max="256" width="46.42578125" bestFit="1" customWidth="1"/>
    <col min="257" max="257" width="8.7109375" customWidth="1"/>
    <col min="258" max="262" width="14.28515625" customWidth="1"/>
    <col min="512" max="512" width="46.42578125" bestFit="1" customWidth="1"/>
    <col min="513" max="513" width="8.7109375" customWidth="1"/>
    <col min="514" max="518" width="14.28515625" customWidth="1"/>
    <col min="768" max="768" width="46.42578125" bestFit="1" customWidth="1"/>
    <col min="769" max="769" width="8.7109375" customWidth="1"/>
    <col min="770" max="774" width="14.28515625" customWidth="1"/>
    <col min="1024" max="1024" width="46.42578125" bestFit="1" customWidth="1"/>
    <col min="1025" max="1025" width="8.7109375" customWidth="1"/>
    <col min="1026" max="1030" width="14.28515625" customWidth="1"/>
    <col min="1280" max="1280" width="46.42578125" bestFit="1" customWidth="1"/>
    <col min="1281" max="1281" width="8.7109375" customWidth="1"/>
    <col min="1282" max="1286" width="14.28515625" customWidth="1"/>
    <col min="1536" max="1536" width="46.42578125" bestFit="1" customWidth="1"/>
    <col min="1537" max="1537" width="8.7109375" customWidth="1"/>
    <col min="1538" max="1542" width="14.28515625" customWidth="1"/>
    <col min="1792" max="1792" width="46.42578125" bestFit="1" customWidth="1"/>
    <col min="1793" max="1793" width="8.7109375" customWidth="1"/>
    <col min="1794" max="1798" width="14.28515625" customWidth="1"/>
    <col min="2048" max="2048" width="46.42578125" bestFit="1" customWidth="1"/>
    <col min="2049" max="2049" width="8.7109375" customWidth="1"/>
    <col min="2050" max="2054" width="14.28515625" customWidth="1"/>
    <col min="2304" max="2304" width="46.42578125" bestFit="1" customWidth="1"/>
    <col min="2305" max="2305" width="8.7109375" customWidth="1"/>
    <col min="2306" max="2310" width="14.28515625" customWidth="1"/>
    <col min="2560" max="2560" width="46.42578125" bestFit="1" customWidth="1"/>
    <col min="2561" max="2561" width="8.7109375" customWidth="1"/>
    <col min="2562" max="2566" width="14.28515625" customWidth="1"/>
    <col min="2816" max="2816" width="46.42578125" bestFit="1" customWidth="1"/>
    <col min="2817" max="2817" width="8.7109375" customWidth="1"/>
    <col min="2818" max="2822" width="14.28515625" customWidth="1"/>
    <col min="3072" max="3072" width="46.42578125" bestFit="1" customWidth="1"/>
    <col min="3073" max="3073" width="8.7109375" customWidth="1"/>
    <col min="3074" max="3078" width="14.28515625" customWidth="1"/>
    <col min="3328" max="3328" width="46.42578125" bestFit="1" customWidth="1"/>
    <col min="3329" max="3329" width="8.7109375" customWidth="1"/>
    <col min="3330" max="3334" width="14.28515625" customWidth="1"/>
    <col min="3584" max="3584" width="46.42578125" bestFit="1" customWidth="1"/>
    <col min="3585" max="3585" width="8.7109375" customWidth="1"/>
    <col min="3586" max="3590" width="14.28515625" customWidth="1"/>
    <col min="3840" max="3840" width="46.42578125" bestFit="1" customWidth="1"/>
    <col min="3841" max="3841" width="8.7109375" customWidth="1"/>
    <col min="3842" max="3846" width="14.28515625" customWidth="1"/>
    <col min="4096" max="4096" width="46.42578125" bestFit="1" customWidth="1"/>
    <col min="4097" max="4097" width="8.7109375" customWidth="1"/>
    <col min="4098" max="4102" width="14.28515625" customWidth="1"/>
    <col min="4352" max="4352" width="46.42578125" bestFit="1" customWidth="1"/>
    <col min="4353" max="4353" width="8.7109375" customWidth="1"/>
    <col min="4354" max="4358" width="14.28515625" customWidth="1"/>
    <col min="4608" max="4608" width="46.42578125" bestFit="1" customWidth="1"/>
    <col min="4609" max="4609" width="8.7109375" customWidth="1"/>
    <col min="4610" max="4614" width="14.28515625" customWidth="1"/>
    <col min="4864" max="4864" width="46.42578125" bestFit="1" customWidth="1"/>
    <col min="4865" max="4865" width="8.7109375" customWidth="1"/>
    <col min="4866" max="4870" width="14.28515625" customWidth="1"/>
    <col min="5120" max="5120" width="46.42578125" bestFit="1" customWidth="1"/>
    <col min="5121" max="5121" width="8.7109375" customWidth="1"/>
    <col min="5122" max="5126" width="14.28515625" customWidth="1"/>
    <col min="5376" max="5376" width="46.42578125" bestFit="1" customWidth="1"/>
    <col min="5377" max="5377" width="8.7109375" customWidth="1"/>
    <col min="5378" max="5382" width="14.28515625" customWidth="1"/>
    <col min="5632" max="5632" width="46.42578125" bestFit="1" customWidth="1"/>
    <col min="5633" max="5633" width="8.7109375" customWidth="1"/>
    <col min="5634" max="5638" width="14.28515625" customWidth="1"/>
    <col min="5888" max="5888" width="46.42578125" bestFit="1" customWidth="1"/>
    <col min="5889" max="5889" width="8.7109375" customWidth="1"/>
    <col min="5890" max="5894" width="14.28515625" customWidth="1"/>
    <col min="6144" max="6144" width="46.42578125" bestFit="1" customWidth="1"/>
    <col min="6145" max="6145" width="8.7109375" customWidth="1"/>
    <col min="6146" max="6150" width="14.28515625" customWidth="1"/>
    <col min="6400" max="6400" width="46.42578125" bestFit="1" customWidth="1"/>
    <col min="6401" max="6401" width="8.7109375" customWidth="1"/>
    <col min="6402" max="6406" width="14.28515625" customWidth="1"/>
    <col min="6656" max="6656" width="46.42578125" bestFit="1" customWidth="1"/>
    <col min="6657" max="6657" width="8.7109375" customWidth="1"/>
    <col min="6658" max="6662" width="14.28515625" customWidth="1"/>
    <col min="6912" max="6912" width="46.42578125" bestFit="1" customWidth="1"/>
    <col min="6913" max="6913" width="8.7109375" customWidth="1"/>
    <col min="6914" max="6918" width="14.28515625" customWidth="1"/>
    <col min="7168" max="7168" width="46.42578125" bestFit="1" customWidth="1"/>
    <col min="7169" max="7169" width="8.7109375" customWidth="1"/>
    <col min="7170" max="7174" width="14.28515625" customWidth="1"/>
    <col min="7424" max="7424" width="46.42578125" bestFit="1" customWidth="1"/>
    <col min="7425" max="7425" width="8.7109375" customWidth="1"/>
    <col min="7426" max="7430" width="14.28515625" customWidth="1"/>
    <col min="7680" max="7680" width="46.42578125" bestFit="1" customWidth="1"/>
    <col min="7681" max="7681" width="8.7109375" customWidth="1"/>
    <col min="7682" max="7686" width="14.28515625" customWidth="1"/>
    <col min="7936" max="7936" width="46.42578125" bestFit="1" customWidth="1"/>
    <col min="7937" max="7937" width="8.7109375" customWidth="1"/>
    <col min="7938" max="7942" width="14.28515625" customWidth="1"/>
    <col min="8192" max="8192" width="46.42578125" bestFit="1" customWidth="1"/>
    <col min="8193" max="8193" width="8.7109375" customWidth="1"/>
    <col min="8194" max="8198" width="14.28515625" customWidth="1"/>
    <col min="8448" max="8448" width="46.42578125" bestFit="1" customWidth="1"/>
    <col min="8449" max="8449" width="8.7109375" customWidth="1"/>
    <col min="8450" max="8454" width="14.28515625" customWidth="1"/>
    <col min="8704" max="8704" width="46.42578125" bestFit="1" customWidth="1"/>
    <col min="8705" max="8705" width="8.7109375" customWidth="1"/>
    <col min="8706" max="8710" width="14.28515625" customWidth="1"/>
    <col min="8960" max="8960" width="46.42578125" bestFit="1" customWidth="1"/>
    <col min="8961" max="8961" width="8.7109375" customWidth="1"/>
    <col min="8962" max="8966" width="14.28515625" customWidth="1"/>
    <col min="9216" max="9216" width="46.42578125" bestFit="1" customWidth="1"/>
    <col min="9217" max="9217" width="8.7109375" customWidth="1"/>
    <col min="9218" max="9222" width="14.28515625" customWidth="1"/>
    <col min="9472" max="9472" width="46.42578125" bestFit="1" customWidth="1"/>
    <col min="9473" max="9473" width="8.7109375" customWidth="1"/>
    <col min="9474" max="9478" width="14.28515625" customWidth="1"/>
    <col min="9728" max="9728" width="46.42578125" bestFit="1" customWidth="1"/>
    <col min="9729" max="9729" width="8.7109375" customWidth="1"/>
    <col min="9730" max="9734" width="14.28515625" customWidth="1"/>
    <col min="9984" max="9984" width="46.42578125" bestFit="1" customWidth="1"/>
    <col min="9985" max="9985" width="8.7109375" customWidth="1"/>
    <col min="9986" max="9990" width="14.28515625" customWidth="1"/>
    <col min="10240" max="10240" width="46.42578125" bestFit="1" customWidth="1"/>
    <col min="10241" max="10241" width="8.7109375" customWidth="1"/>
    <col min="10242" max="10246" width="14.28515625" customWidth="1"/>
    <col min="10496" max="10496" width="46.42578125" bestFit="1" customWidth="1"/>
    <col min="10497" max="10497" width="8.7109375" customWidth="1"/>
    <col min="10498" max="10502" width="14.28515625" customWidth="1"/>
    <col min="10752" max="10752" width="46.42578125" bestFit="1" customWidth="1"/>
    <col min="10753" max="10753" width="8.7109375" customWidth="1"/>
    <col min="10754" max="10758" width="14.28515625" customWidth="1"/>
    <col min="11008" max="11008" width="46.42578125" bestFit="1" customWidth="1"/>
    <col min="11009" max="11009" width="8.7109375" customWidth="1"/>
    <col min="11010" max="11014" width="14.28515625" customWidth="1"/>
    <col min="11264" max="11264" width="46.42578125" bestFit="1" customWidth="1"/>
    <col min="11265" max="11265" width="8.7109375" customWidth="1"/>
    <col min="11266" max="11270" width="14.28515625" customWidth="1"/>
    <col min="11520" max="11520" width="46.42578125" bestFit="1" customWidth="1"/>
    <col min="11521" max="11521" width="8.7109375" customWidth="1"/>
    <col min="11522" max="11526" width="14.28515625" customWidth="1"/>
    <col min="11776" max="11776" width="46.42578125" bestFit="1" customWidth="1"/>
    <col min="11777" max="11777" width="8.7109375" customWidth="1"/>
    <col min="11778" max="11782" width="14.28515625" customWidth="1"/>
    <col min="12032" max="12032" width="46.42578125" bestFit="1" customWidth="1"/>
    <col min="12033" max="12033" width="8.7109375" customWidth="1"/>
    <col min="12034" max="12038" width="14.28515625" customWidth="1"/>
    <col min="12288" max="12288" width="46.42578125" bestFit="1" customWidth="1"/>
    <col min="12289" max="12289" width="8.7109375" customWidth="1"/>
    <col min="12290" max="12294" width="14.28515625" customWidth="1"/>
    <col min="12544" max="12544" width="46.42578125" bestFit="1" customWidth="1"/>
    <col min="12545" max="12545" width="8.7109375" customWidth="1"/>
    <col min="12546" max="12550" width="14.28515625" customWidth="1"/>
    <col min="12800" max="12800" width="46.42578125" bestFit="1" customWidth="1"/>
    <col min="12801" max="12801" width="8.7109375" customWidth="1"/>
    <col min="12802" max="12806" width="14.28515625" customWidth="1"/>
    <col min="13056" max="13056" width="46.42578125" bestFit="1" customWidth="1"/>
    <col min="13057" max="13057" width="8.7109375" customWidth="1"/>
    <col min="13058" max="13062" width="14.28515625" customWidth="1"/>
    <col min="13312" max="13312" width="46.42578125" bestFit="1" customWidth="1"/>
    <col min="13313" max="13313" width="8.7109375" customWidth="1"/>
    <col min="13314" max="13318" width="14.28515625" customWidth="1"/>
    <col min="13568" max="13568" width="46.42578125" bestFit="1" customWidth="1"/>
    <col min="13569" max="13569" width="8.7109375" customWidth="1"/>
    <col min="13570" max="13574" width="14.28515625" customWidth="1"/>
    <col min="13824" max="13824" width="46.42578125" bestFit="1" customWidth="1"/>
    <col min="13825" max="13825" width="8.7109375" customWidth="1"/>
    <col min="13826" max="13830" width="14.28515625" customWidth="1"/>
    <col min="14080" max="14080" width="46.42578125" bestFit="1" customWidth="1"/>
    <col min="14081" max="14081" width="8.7109375" customWidth="1"/>
    <col min="14082" max="14086" width="14.28515625" customWidth="1"/>
    <col min="14336" max="14336" width="46.42578125" bestFit="1" customWidth="1"/>
    <col min="14337" max="14337" width="8.7109375" customWidth="1"/>
    <col min="14338" max="14342" width="14.28515625" customWidth="1"/>
    <col min="14592" max="14592" width="46.42578125" bestFit="1" customWidth="1"/>
    <col min="14593" max="14593" width="8.7109375" customWidth="1"/>
    <col min="14594" max="14598" width="14.28515625" customWidth="1"/>
    <col min="14848" max="14848" width="46.42578125" bestFit="1" customWidth="1"/>
    <col min="14849" max="14849" width="8.7109375" customWidth="1"/>
    <col min="14850" max="14854" width="14.28515625" customWidth="1"/>
    <col min="15104" max="15104" width="46.42578125" bestFit="1" customWidth="1"/>
    <col min="15105" max="15105" width="8.7109375" customWidth="1"/>
    <col min="15106" max="15110" width="14.28515625" customWidth="1"/>
    <col min="15360" max="15360" width="46.42578125" bestFit="1" customWidth="1"/>
    <col min="15361" max="15361" width="8.7109375" customWidth="1"/>
    <col min="15362" max="15366" width="14.28515625" customWidth="1"/>
    <col min="15616" max="15616" width="46.42578125" bestFit="1" customWidth="1"/>
    <col min="15617" max="15617" width="8.7109375" customWidth="1"/>
    <col min="15618" max="15622" width="14.28515625" customWidth="1"/>
    <col min="15872" max="15872" width="46.42578125" bestFit="1" customWidth="1"/>
    <col min="15873" max="15873" width="8.7109375" customWidth="1"/>
    <col min="15874" max="15878" width="14.28515625" customWidth="1"/>
    <col min="16128" max="16128" width="46.42578125" bestFit="1" customWidth="1"/>
    <col min="16129" max="16129" width="8.7109375" customWidth="1"/>
    <col min="16130" max="16134" width="14.28515625" customWidth="1"/>
  </cols>
  <sheetData>
    <row r="3" spans="1:8" ht="15">
      <c r="A3" s="35" t="s">
        <v>1200</v>
      </c>
      <c r="B3" s="34"/>
      <c r="C3" s="34"/>
      <c r="D3" s="34"/>
      <c r="E3" s="34"/>
      <c r="F3" s="34"/>
    </row>
    <row r="4" spans="1:8" ht="15">
      <c r="A4" s="341" t="s">
        <v>1113</v>
      </c>
      <c r="B4" s="341"/>
      <c r="C4" s="341"/>
      <c r="D4" s="341"/>
      <c r="E4" s="341"/>
      <c r="F4" s="341"/>
    </row>
    <row r="5" spans="1:8" ht="15">
      <c r="A5" s="91"/>
      <c r="B5" s="91"/>
      <c r="C5" s="91"/>
      <c r="D5" s="91"/>
      <c r="E5" s="91"/>
      <c r="F5" s="91"/>
    </row>
    <row r="6" spans="1:8" ht="13.5" thickBot="1">
      <c r="C6" s="17" t="s">
        <v>251</v>
      </c>
      <c r="D6" s="17" t="s">
        <v>251</v>
      </c>
      <c r="E6" s="17" t="s">
        <v>251</v>
      </c>
      <c r="F6" s="17" t="s">
        <v>44</v>
      </c>
      <c r="G6" s="248" t="s">
        <v>1701</v>
      </c>
    </row>
    <row r="7" spans="1:8" ht="13.5" thickTop="1">
      <c r="A7" s="39"/>
      <c r="B7" s="40"/>
      <c r="C7" s="41" t="s">
        <v>55</v>
      </c>
      <c r="D7" s="41" t="s">
        <v>55</v>
      </c>
      <c r="E7" s="41" t="s">
        <v>55</v>
      </c>
      <c r="F7" s="41"/>
      <c r="G7" s="61"/>
    </row>
    <row r="8" spans="1:8" ht="13.5" thickBot="1">
      <c r="A8" s="42"/>
      <c r="B8" s="43"/>
      <c r="C8" s="44" t="s">
        <v>58</v>
      </c>
      <c r="D8" s="44" t="s">
        <v>57</v>
      </c>
      <c r="E8" s="44" t="s">
        <v>59</v>
      </c>
      <c r="F8" s="44" t="s">
        <v>57</v>
      </c>
      <c r="G8" s="62" t="s">
        <v>57</v>
      </c>
      <c r="H8" s="55" t="s">
        <v>252</v>
      </c>
    </row>
    <row r="9" spans="1:8" ht="13.5" thickTop="1">
      <c r="A9" s="45" t="s">
        <v>60</v>
      </c>
      <c r="B9" s="46"/>
      <c r="C9" s="47"/>
      <c r="D9" s="47"/>
      <c r="E9" s="47"/>
      <c r="F9" s="47"/>
    </row>
    <row r="10" spans="1:8">
      <c r="A10" s="131" t="s">
        <v>1230</v>
      </c>
      <c r="B10" s="46" t="s">
        <v>1232</v>
      </c>
      <c r="C10" s="47">
        <v>532029</v>
      </c>
      <c r="D10" s="47">
        <v>0</v>
      </c>
      <c r="E10" s="47">
        <f>D10-C10</f>
        <v>-532029</v>
      </c>
      <c r="F10" s="47">
        <v>625000</v>
      </c>
      <c r="G10" s="59">
        <v>625000</v>
      </c>
    </row>
    <row r="11" spans="1:8">
      <c r="A11" s="131" t="s">
        <v>1231</v>
      </c>
      <c r="B11" s="46" t="s">
        <v>1233</v>
      </c>
      <c r="C11" s="47">
        <v>2282.0500000000002</v>
      </c>
      <c r="D11" s="47">
        <v>0</v>
      </c>
      <c r="E11" s="47">
        <f>D11-C11</f>
        <v>-2282.0500000000002</v>
      </c>
      <c r="F11" s="47">
        <v>2500</v>
      </c>
      <c r="G11" s="59">
        <v>2500</v>
      </c>
    </row>
    <row r="12" spans="1:8">
      <c r="A12" s="30"/>
      <c r="B12" s="30"/>
      <c r="C12" s="56"/>
      <c r="D12" s="56"/>
      <c r="E12" s="56"/>
      <c r="F12" s="56"/>
    </row>
    <row r="13" spans="1:8">
      <c r="A13" s="49" t="s">
        <v>115</v>
      </c>
      <c r="B13" s="50"/>
      <c r="C13" s="57">
        <f>SUM(C10:C11)</f>
        <v>534311.05000000005</v>
      </c>
      <c r="D13" s="57">
        <f>SUM(D10:D11)</f>
        <v>0</v>
      </c>
      <c r="E13" s="57">
        <f>SUM(E10:E11)</f>
        <v>-534311.05000000005</v>
      </c>
      <c r="F13" s="57">
        <v>627500</v>
      </c>
      <c r="G13" s="57">
        <f>SUM(G10:G11)</f>
        <v>627500</v>
      </c>
    </row>
    <row r="14" spans="1:8">
      <c r="A14" s="46"/>
      <c r="C14" s="56"/>
      <c r="D14" s="56"/>
      <c r="E14" s="56"/>
      <c r="F14" s="56"/>
    </row>
    <row r="15" spans="1:8">
      <c r="A15" s="45" t="s">
        <v>116</v>
      </c>
      <c r="C15" s="56"/>
      <c r="D15" s="56"/>
      <c r="E15" s="56"/>
      <c r="F15" s="56"/>
    </row>
    <row r="16" spans="1:8">
      <c r="A16" s="30" t="s">
        <v>1234</v>
      </c>
      <c r="B16" s="30" t="s">
        <v>1248</v>
      </c>
      <c r="C16" s="56">
        <v>2017.97</v>
      </c>
      <c r="D16" s="47">
        <v>0</v>
      </c>
      <c r="E16" s="56">
        <f>D16-C16</f>
        <v>-2017.97</v>
      </c>
      <c r="F16" s="47">
        <v>2421.5639999999999</v>
      </c>
      <c r="G16" s="59">
        <f>C16/10*12</f>
        <v>2421.5639999999999</v>
      </c>
    </row>
    <row r="17" spans="1:8">
      <c r="A17" s="30" t="s">
        <v>1235</v>
      </c>
      <c r="B17" s="30" t="s">
        <v>1249</v>
      </c>
      <c r="C17" s="56">
        <v>3616.68</v>
      </c>
      <c r="D17" s="47">
        <v>0</v>
      </c>
      <c r="E17" s="56">
        <f>D17-C17</f>
        <v>-3616.68</v>
      </c>
      <c r="F17" s="47">
        <v>4340.0159999999996</v>
      </c>
      <c r="G17" s="59">
        <f>C17/10*12</f>
        <v>4340.0159999999996</v>
      </c>
    </row>
    <row r="18" spans="1:8">
      <c r="A18" s="30" t="s">
        <v>1536</v>
      </c>
      <c r="B18" s="30"/>
      <c r="C18" s="56"/>
      <c r="D18" s="47"/>
      <c r="E18" s="56"/>
      <c r="F18" s="47">
        <v>8000</v>
      </c>
      <c r="G18" s="59">
        <v>8000</v>
      </c>
      <c r="H18" t="s">
        <v>1072</v>
      </c>
    </row>
    <row r="19" spans="1:8">
      <c r="A19" s="30" t="s">
        <v>1236</v>
      </c>
      <c r="B19" s="30" t="s">
        <v>1250</v>
      </c>
      <c r="C19" s="56">
        <v>880</v>
      </c>
      <c r="D19" s="47">
        <v>0</v>
      </c>
      <c r="E19" s="56">
        <f>D19-C19</f>
        <v>-880</v>
      </c>
      <c r="F19" s="47">
        <v>1056</v>
      </c>
      <c r="G19" s="59">
        <f>C19/10*12</f>
        <v>1056</v>
      </c>
    </row>
    <row r="20" spans="1:8">
      <c r="A20" s="30" t="s">
        <v>1237</v>
      </c>
      <c r="B20" s="30" t="s">
        <v>1251</v>
      </c>
      <c r="C20" s="56">
        <v>5374.69</v>
      </c>
      <c r="D20" s="47">
        <v>0</v>
      </c>
      <c r="E20" s="56">
        <f>D20-C20</f>
        <v>-5374.69</v>
      </c>
      <c r="F20" s="47">
        <v>5500</v>
      </c>
      <c r="G20" s="59">
        <v>5500</v>
      </c>
    </row>
    <row r="21" spans="1:8">
      <c r="A21" s="30" t="s">
        <v>1238</v>
      </c>
      <c r="B21" s="30" t="s">
        <v>1252</v>
      </c>
      <c r="C21" s="56">
        <v>1131.05</v>
      </c>
      <c r="D21" s="47">
        <v>0</v>
      </c>
      <c r="E21" s="56">
        <f>D21-C21</f>
        <v>-1131.05</v>
      </c>
      <c r="F21" s="47">
        <v>1000</v>
      </c>
      <c r="G21" s="59">
        <v>1000</v>
      </c>
    </row>
    <row r="22" spans="1:8">
      <c r="A22" s="30" t="s">
        <v>1276</v>
      </c>
      <c r="B22" s="30" t="s">
        <v>1277</v>
      </c>
      <c r="C22" s="56"/>
      <c r="D22" s="47"/>
      <c r="E22" s="56"/>
      <c r="F22" s="47">
        <v>5000</v>
      </c>
      <c r="G22" s="59">
        <v>5000</v>
      </c>
      <c r="H22" t="s">
        <v>1414</v>
      </c>
    </row>
    <row r="23" spans="1:8">
      <c r="A23" s="30" t="s">
        <v>1239</v>
      </c>
      <c r="B23" s="30" t="s">
        <v>1253</v>
      </c>
      <c r="C23" s="56">
        <v>513357.89</v>
      </c>
      <c r="D23" s="47">
        <v>0</v>
      </c>
      <c r="E23" s="56">
        <f t="shared" ref="E23:E31" si="0">D23-C23</f>
        <v>-513357.89</v>
      </c>
      <c r="F23" s="47">
        <v>553211.98</v>
      </c>
      <c r="G23" s="59">
        <v>553211.98</v>
      </c>
      <c r="H23" s="171">
        <f>G23/G10</f>
        <v>0.88513916799999992</v>
      </c>
    </row>
    <row r="24" spans="1:8">
      <c r="A24" s="30" t="s">
        <v>1240</v>
      </c>
      <c r="B24" s="30" t="s">
        <v>1254</v>
      </c>
      <c r="C24" s="56">
        <v>2422</v>
      </c>
      <c r="D24" s="47">
        <v>0</v>
      </c>
      <c r="E24" s="56">
        <f t="shared" si="0"/>
        <v>-2422</v>
      </c>
      <c r="F24" s="47">
        <v>2906.3999999999996</v>
      </c>
      <c r="G24" s="59">
        <f>C24/10*12</f>
        <v>2906.3999999999996</v>
      </c>
    </row>
    <row r="25" spans="1:8">
      <c r="A25" s="30" t="s">
        <v>1241</v>
      </c>
      <c r="B25" s="30" t="s">
        <v>1255</v>
      </c>
      <c r="C25" s="56">
        <v>-2704.97</v>
      </c>
      <c r="D25" s="47">
        <v>0</v>
      </c>
      <c r="E25" s="56">
        <f t="shared" si="0"/>
        <v>2704.97</v>
      </c>
      <c r="F25" s="47">
        <v>-100</v>
      </c>
      <c r="G25" s="59">
        <v>-100</v>
      </c>
    </row>
    <row r="26" spans="1:8">
      <c r="A26" s="30" t="s">
        <v>1242</v>
      </c>
      <c r="B26" s="30" t="s">
        <v>1256</v>
      </c>
      <c r="C26" s="56">
        <v>31400</v>
      </c>
      <c r="D26" s="47">
        <v>0</v>
      </c>
      <c r="E26" s="56">
        <f t="shared" si="0"/>
        <v>-31400</v>
      </c>
      <c r="F26" s="47">
        <v>37680</v>
      </c>
      <c r="G26" s="59">
        <f>C26/10*12</f>
        <v>37680</v>
      </c>
    </row>
    <row r="27" spans="1:8">
      <c r="A27" s="30" t="s">
        <v>1243</v>
      </c>
      <c r="B27" s="30" t="s">
        <v>1257</v>
      </c>
      <c r="C27" s="56">
        <v>485.15</v>
      </c>
      <c r="D27" s="47">
        <v>0</v>
      </c>
      <c r="E27" s="56">
        <f t="shared" si="0"/>
        <v>-485.15</v>
      </c>
      <c r="F27" s="47">
        <v>582.18000000000006</v>
      </c>
      <c r="G27" s="59">
        <f>C27/10*12</f>
        <v>582.18000000000006</v>
      </c>
    </row>
    <row r="28" spans="1:8">
      <c r="A28" s="30" t="s">
        <v>1244</v>
      </c>
      <c r="B28" s="30" t="s">
        <v>1258</v>
      </c>
      <c r="C28" s="56">
        <v>36521.120000000003</v>
      </c>
      <c r="D28" s="47">
        <v>0</v>
      </c>
      <c r="E28" s="56">
        <f t="shared" si="0"/>
        <v>-36521.120000000003</v>
      </c>
      <c r="F28" s="47">
        <v>0</v>
      </c>
      <c r="G28" s="59">
        <v>0</v>
      </c>
    </row>
    <row r="29" spans="1:8">
      <c r="A29" s="30" t="s">
        <v>1245</v>
      </c>
      <c r="B29" s="30" t="s">
        <v>1259</v>
      </c>
      <c r="C29" s="56">
        <v>751.55</v>
      </c>
      <c r="D29" s="47">
        <v>0</v>
      </c>
      <c r="E29" s="56">
        <f t="shared" si="0"/>
        <v>-751.55</v>
      </c>
      <c r="F29" s="47">
        <v>901.86</v>
      </c>
      <c r="G29" s="59">
        <f>C29/10*12</f>
        <v>901.86</v>
      </c>
    </row>
    <row r="30" spans="1:8">
      <c r="A30" s="30" t="s">
        <v>1246</v>
      </c>
      <c r="B30" s="30" t="s">
        <v>1260</v>
      </c>
      <c r="C30" s="56">
        <v>3564.75</v>
      </c>
      <c r="D30" s="47">
        <v>0</v>
      </c>
      <c r="E30" s="56">
        <f t="shared" si="0"/>
        <v>-3564.75</v>
      </c>
      <c r="F30" s="47">
        <v>5000</v>
      </c>
      <c r="G30" s="59">
        <v>5000</v>
      </c>
    </row>
    <row r="31" spans="1:8">
      <c r="A31" s="30" t="s">
        <v>1247</v>
      </c>
      <c r="B31" s="30" t="s">
        <v>1261</v>
      </c>
      <c r="C31" s="56">
        <v>15000</v>
      </c>
      <c r="D31" s="47">
        <v>0</v>
      </c>
      <c r="E31" s="56">
        <f t="shared" si="0"/>
        <v>-15000</v>
      </c>
      <c r="F31" s="47">
        <v>0</v>
      </c>
      <c r="G31" s="59">
        <v>0</v>
      </c>
    </row>
    <row r="32" spans="1:8">
      <c r="C32" s="56"/>
      <c r="D32" s="56"/>
      <c r="E32" s="56"/>
      <c r="F32" s="56"/>
    </row>
    <row r="33" spans="1:7">
      <c r="A33" s="49" t="s">
        <v>249</v>
      </c>
      <c r="B33" s="52"/>
      <c r="C33" s="57">
        <f>SUM(C16:C31)</f>
        <v>613817.88000000012</v>
      </c>
      <c r="D33" s="57">
        <f>SUM(D16:D31)</f>
        <v>0</v>
      </c>
      <c r="E33" s="57">
        <f>SUM(E16:E31)</f>
        <v>-613817.88000000012</v>
      </c>
      <c r="F33" s="57">
        <v>627500</v>
      </c>
      <c r="G33" s="57">
        <f>SUM(G16:G31)</f>
        <v>627500</v>
      </c>
    </row>
    <row r="34" spans="1:7">
      <c r="C34" s="56"/>
      <c r="D34" s="56"/>
      <c r="E34" s="56"/>
      <c r="F34" s="56"/>
    </row>
    <row r="35" spans="1:7" ht="13.5" thickBot="1">
      <c r="A35" s="43" t="s">
        <v>250</v>
      </c>
      <c r="B35" s="53"/>
      <c r="C35" s="54">
        <f>C13-C33</f>
        <v>-79506.830000000075</v>
      </c>
      <c r="D35" s="54">
        <f>D13-D33</f>
        <v>0</v>
      </c>
      <c r="E35" s="54">
        <f>E13-E33</f>
        <v>79506.830000000075</v>
      </c>
      <c r="F35" s="54">
        <v>0</v>
      </c>
      <c r="G35" s="54">
        <f>G13-G33</f>
        <v>0</v>
      </c>
    </row>
    <row r="36" spans="1:7" ht="13.5" thickTop="1"/>
  </sheetData>
  <mergeCells count="1">
    <mergeCell ref="A4:F4"/>
  </mergeCells>
  <pageMargins left="0.7" right="0.7" top="0.75" bottom="0.75" header="0.3" footer="0.3"/>
  <pageSetup orientation="landscape" horizontalDpi="4294967293" vertic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E15" sqref="E15"/>
    </sheetView>
  </sheetViews>
  <sheetFormatPr defaultRowHeight="12.75"/>
  <cols>
    <col min="2" max="2" width="15" bestFit="1" customWidth="1"/>
    <col min="3" max="3" width="15" customWidth="1"/>
    <col min="4" max="4" width="9.7109375" style="59" bestFit="1" customWidth="1"/>
  </cols>
  <sheetData>
    <row r="1" spans="1:4">
      <c r="A1" s="22" t="s">
        <v>1865</v>
      </c>
    </row>
    <row r="2" spans="1:4">
      <c r="A2" s="22" t="s">
        <v>1265</v>
      </c>
    </row>
    <row r="4" spans="1:4">
      <c r="D4" s="59" t="s">
        <v>1</v>
      </c>
    </row>
    <row r="5" spans="1:4">
      <c r="D5" s="59">
        <v>112.05555555555556</v>
      </c>
    </row>
    <row r="7" spans="1:4">
      <c r="A7" s="22" t="s">
        <v>1266</v>
      </c>
    </row>
    <row r="8" spans="1:4">
      <c r="B8" t="s">
        <v>1269</v>
      </c>
      <c r="D8" s="59">
        <v>10900</v>
      </c>
    </row>
    <row r="9" spans="1:4">
      <c r="B9" t="s">
        <v>1270</v>
      </c>
      <c r="D9" s="132">
        <f>'S&amp;R - Bingo'!G22</f>
        <v>5000</v>
      </c>
    </row>
    <row r="11" spans="1:4">
      <c r="D11" s="59">
        <f>SUM(D8:D9)</f>
        <v>15900</v>
      </c>
    </row>
    <row r="13" spans="1:4">
      <c r="A13" s="22" t="s">
        <v>1267</v>
      </c>
    </row>
    <row r="14" spans="1:4">
      <c r="B14" t="s">
        <v>1271</v>
      </c>
      <c r="D14" s="59">
        <v>5500</v>
      </c>
    </row>
    <row r="15" spans="1:4">
      <c r="B15" t="s">
        <v>1272</v>
      </c>
      <c r="C15" s="245"/>
      <c r="D15" s="59">
        <v>7600</v>
      </c>
    </row>
    <row r="16" spans="1:4">
      <c r="B16" t="s">
        <v>1273</v>
      </c>
      <c r="D16" s="59">
        <v>1700</v>
      </c>
    </row>
    <row r="17" spans="1:4">
      <c r="B17" t="s">
        <v>1268</v>
      </c>
      <c r="D17" s="59">
        <v>100</v>
      </c>
    </row>
    <row r="18" spans="1:4">
      <c r="B18" t="s">
        <v>1274</v>
      </c>
      <c r="D18" s="132">
        <v>100</v>
      </c>
    </row>
    <row r="20" spans="1:4">
      <c r="D20" s="59">
        <v>15900</v>
      </c>
    </row>
    <row r="23" spans="1:4">
      <c r="A23" s="22" t="s">
        <v>1275</v>
      </c>
      <c r="D23" s="59">
        <f>D11-D20</f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zoomScale="150" zoomScaleNormal="150" workbookViewId="0">
      <selection activeCell="A2" sqref="A2"/>
    </sheetView>
  </sheetViews>
  <sheetFormatPr defaultRowHeight="12.75"/>
  <cols>
    <col min="1" max="1" width="46.42578125" bestFit="1" customWidth="1"/>
    <col min="2" max="2" width="8.7109375" customWidth="1"/>
    <col min="3" max="5" width="14.28515625" hidden="1" customWidth="1"/>
    <col min="6" max="6" width="14.28515625" customWidth="1"/>
    <col min="7" max="7" width="13.28515625" style="58" bestFit="1" customWidth="1"/>
    <col min="8" max="8" width="19.42578125" customWidth="1"/>
    <col min="256" max="256" width="46.42578125" bestFit="1" customWidth="1"/>
    <col min="257" max="257" width="8.7109375" customWidth="1"/>
    <col min="258" max="262" width="14.28515625" customWidth="1"/>
    <col min="512" max="512" width="46.42578125" bestFit="1" customWidth="1"/>
    <col min="513" max="513" width="8.7109375" customWidth="1"/>
    <col min="514" max="518" width="14.28515625" customWidth="1"/>
    <col min="768" max="768" width="46.42578125" bestFit="1" customWidth="1"/>
    <col min="769" max="769" width="8.7109375" customWidth="1"/>
    <col min="770" max="774" width="14.28515625" customWidth="1"/>
    <col min="1024" max="1024" width="46.42578125" bestFit="1" customWidth="1"/>
    <col min="1025" max="1025" width="8.7109375" customWidth="1"/>
    <col min="1026" max="1030" width="14.28515625" customWidth="1"/>
    <col min="1280" max="1280" width="46.42578125" bestFit="1" customWidth="1"/>
    <col min="1281" max="1281" width="8.7109375" customWidth="1"/>
    <col min="1282" max="1286" width="14.28515625" customWidth="1"/>
    <col min="1536" max="1536" width="46.42578125" bestFit="1" customWidth="1"/>
    <col min="1537" max="1537" width="8.7109375" customWidth="1"/>
    <col min="1538" max="1542" width="14.28515625" customWidth="1"/>
    <col min="1792" max="1792" width="46.42578125" bestFit="1" customWidth="1"/>
    <col min="1793" max="1793" width="8.7109375" customWidth="1"/>
    <col min="1794" max="1798" width="14.28515625" customWidth="1"/>
    <col min="2048" max="2048" width="46.42578125" bestFit="1" customWidth="1"/>
    <col min="2049" max="2049" width="8.7109375" customWidth="1"/>
    <col min="2050" max="2054" width="14.28515625" customWidth="1"/>
    <col min="2304" max="2304" width="46.42578125" bestFit="1" customWidth="1"/>
    <col min="2305" max="2305" width="8.7109375" customWidth="1"/>
    <col min="2306" max="2310" width="14.28515625" customWidth="1"/>
    <col min="2560" max="2560" width="46.42578125" bestFit="1" customWidth="1"/>
    <col min="2561" max="2561" width="8.7109375" customWidth="1"/>
    <col min="2562" max="2566" width="14.28515625" customWidth="1"/>
    <col min="2816" max="2816" width="46.42578125" bestFit="1" customWidth="1"/>
    <col min="2817" max="2817" width="8.7109375" customWidth="1"/>
    <col min="2818" max="2822" width="14.28515625" customWidth="1"/>
    <col min="3072" max="3072" width="46.42578125" bestFit="1" customWidth="1"/>
    <col min="3073" max="3073" width="8.7109375" customWidth="1"/>
    <col min="3074" max="3078" width="14.28515625" customWidth="1"/>
    <col min="3328" max="3328" width="46.42578125" bestFit="1" customWidth="1"/>
    <col min="3329" max="3329" width="8.7109375" customWidth="1"/>
    <col min="3330" max="3334" width="14.28515625" customWidth="1"/>
    <col min="3584" max="3584" width="46.42578125" bestFit="1" customWidth="1"/>
    <col min="3585" max="3585" width="8.7109375" customWidth="1"/>
    <col min="3586" max="3590" width="14.28515625" customWidth="1"/>
    <col min="3840" max="3840" width="46.42578125" bestFit="1" customWidth="1"/>
    <col min="3841" max="3841" width="8.7109375" customWidth="1"/>
    <col min="3842" max="3846" width="14.28515625" customWidth="1"/>
    <col min="4096" max="4096" width="46.42578125" bestFit="1" customWidth="1"/>
    <col min="4097" max="4097" width="8.7109375" customWidth="1"/>
    <col min="4098" max="4102" width="14.28515625" customWidth="1"/>
    <col min="4352" max="4352" width="46.42578125" bestFit="1" customWidth="1"/>
    <col min="4353" max="4353" width="8.7109375" customWidth="1"/>
    <col min="4354" max="4358" width="14.28515625" customWidth="1"/>
    <col min="4608" max="4608" width="46.42578125" bestFit="1" customWidth="1"/>
    <col min="4609" max="4609" width="8.7109375" customWidth="1"/>
    <col min="4610" max="4614" width="14.28515625" customWidth="1"/>
    <col min="4864" max="4864" width="46.42578125" bestFit="1" customWidth="1"/>
    <col min="4865" max="4865" width="8.7109375" customWidth="1"/>
    <col min="4866" max="4870" width="14.28515625" customWidth="1"/>
    <col min="5120" max="5120" width="46.42578125" bestFit="1" customWidth="1"/>
    <col min="5121" max="5121" width="8.7109375" customWidth="1"/>
    <col min="5122" max="5126" width="14.28515625" customWidth="1"/>
    <col min="5376" max="5376" width="46.42578125" bestFit="1" customWidth="1"/>
    <col min="5377" max="5377" width="8.7109375" customWidth="1"/>
    <col min="5378" max="5382" width="14.28515625" customWidth="1"/>
    <col min="5632" max="5632" width="46.42578125" bestFit="1" customWidth="1"/>
    <col min="5633" max="5633" width="8.7109375" customWidth="1"/>
    <col min="5634" max="5638" width="14.28515625" customWidth="1"/>
    <col min="5888" max="5888" width="46.42578125" bestFit="1" customWidth="1"/>
    <col min="5889" max="5889" width="8.7109375" customWidth="1"/>
    <col min="5890" max="5894" width="14.28515625" customWidth="1"/>
    <col min="6144" max="6144" width="46.42578125" bestFit="1" customWidth="1"/>
    <col min="6145" max="6145" width="8.7109375" customWidth="1"/>
    <col min="6146" max="6150" width="14.28515625" customWidth="1"/>
    <col min="6400" max="6400" width="46.42578125" bestFit="1" customWidth="1"/>
    <col min="6401" max="6401" width="8.7109375" customWidth="1"/>
    <col min="6402" max="6406" width="14.28515625" customWidth="1"/>
    <col min="6656" max="6656" width="46.42578125" bestFit="1" customWidth="1"/>
    <col min="6657" max="6657" width="8.7109375" customWidth="1"/>
    <col min="6658" max="6662" width="14.28515625" customWidth="1"/>
    <col min="6912" max="6912" width="46.42578125" bestFit="1" customWidth="1"/>
    <col min="6913" max="6913" width="8.7109375" customWidth="1"/>
    <col min="6914" max="6918" width="14.28515625" customWidth="1"/>
    <col min="7168" max="7168" width="46.42578125" bestFit="1" customWidth="1"/>
    <col min="7169" max="7169" width="8.7109375" customWidth="1"/>
    <col min="7170" max="7174" width="14.28515625" customWidth="1"/>
    <col min="7424" max="7424" width="46.42578125" bestFit="1" customWidth="1"/>
    <col min="7425" max="7425" width="8.7109375" customWidth="1"/>
    <col min="7426" max="7430" width="14.28515625" customWidth="1"/>
    <col min="7680" max="7680" width="46.42578125" bestFit="1" customWidth="1"/>
    <col min="7681" max="7681" width="8.7109375" customWidth="1"/>
    <col min="7682" max="7686" width="14.28515625" customWidth="1"/>
    <col min="7936" max="7936" width="46.42578125" bestFit="1" customWidth="1"/>
    <col min="7937" max="7937" width="8.7109375" customWidth="1"/>
    <col min="7938" max="7942" width="14.28515625" customWidth="1"/>
    <col min="8192" max="8192" width="46.42578125" bestFit="1" customWidth="1"/>
    <col min="8193" max="8193" width="8.7109375" customWidth="1"/>
    <col min="8194" max="8198" width="14.28515625" customWidth="1"/>
    <col min="8448" max="8448" width="46.42578125" bestFit="1" customWidth="1"/>
    <col min="8449" max="8449" width="8.7109375" customWidth="1"/>
    <col min="8450" max="8454" width="14.28515625" customWidth="1"/>
    <col min="8704" max="8704" width="46.42578125" bestFit="1" customWidth="1"/>
    <col min="8705" max="8705" width="8.7109375" customWidth="1"/>
    <col min="8706" max="8710" width="14.28515625" customWidth="1"/>
    <col min="8960" max="8960" width="46.42578125" bestFit="1" customWidth="1"/>
    <col min="8961" max="8961" width="8.7109375" customWidth="1"/>
    <col min="8962" max="8966" width="14.28515625" customWidth="1"/>
    <col min="9216" max="9216" width="46.42578125" bestFit="1" customWidth="1"/>
    <col min="9217" max="9217" width="8.7109375" customWidth="1"/>
    <col min="9218" max="9222" width="14.28515625" customWidth="1"/>
    <col min="9472" max="9472" width="46.42578125" bestFit="1" customWidth="1"/>
    <col min="9473" max="9473" width="8.7109375" customWidth="1"/>
    <col min="9474" max="9478" width="14.28515625" customWidth="1"/>
    <col min="9728" max="9728" width="46.42578125" bestFit="1" customWidth="1"/>
    <col min="9729" max="9729" width="8.7109375" customWidth="1"/>
    <col min="9730" max="9734" width="14.28515625" customWidth="1"/>
    <col min="9984" max="9984" width="46.42578125" bestFit="1" customWidth="1"/>
    <col min="9985" max="9985" width="8.7109375" customWidth="1"/>
    <col min="9986" max="9990" width="14.28515625" customWidth="1"/>
    <col min="10240" max="10240" width="46.42578125" bestFit="1" customWidth="1"/>
    <col min="10241" max="10241" width="8.7109375" customWidth="1"/>
    <col min="10242" max="10246" width="14.28515625" customWidth="1"/>
    <col min="10496" max="10496" width="46.42578125" bestFit="1" customWidth="1"/>
    <col min="10497" max="10497" width="8.7109375" customWidth="1"/>
    <col min="10498" max="10502" width="14.28515625" customWidth="1"/>
    <col min="10752" max="10752" width="46.42578125" bestFit="1" customWidth="1"/>
    <col min="10753" max="10753" width="8.7109375" customWidth="1"/>
    <col min="10754" max="10758" width="14.28515625" customWidth="1"/>
    <col min="11008" max="11008" width="46.42578125" bestFit="1" customWidth="1"/>
    <col min="11009" max="11009" width="8.7109375" customWidth="1"/>
    <col min="11010" max="11014" width="14.28515625" customWidth="1"/>
    <col min="11264" max="11264" width="46.42578125" bestFit="1" customWidth="1"/>
    <col min="11265" max="11265" width="8.7109375" customWidth="1"/>
    <col min="11266" max="11270" width="14.28515625" customWidth="1"/>
    <col min="11520" max="11520" width="46.42578125" bestFit="1" customWidth="1"/>
    <col min="11521" max="11521" width="8.7109375" customWidth="1"/>
    <col min="11522" max="11526" width="14.28515625" customWidth="1"/>
    <col min="11776" max="11776" width="46.42578125" bestFit="1" customWidth="1"/>
    <col min="11777" max="11777" width="8.7109375" customWidth="1"/>
    <col min="11778" max="11782" width="14.28515625" customWidth="1"/>
    <col min="12032" max="12032" width="46.42578125" bestFit="1" customWidth="1"/>
    <col min="12033" max="12033" width="8.7109375" customWidth="1"/>
    <col min="12034" max="12038" width="14.28515625" customWidth="1"/>
    <col min="12288" max="12288" width="46.42578125" bestFit="1" customWidth="1"/>
    <col min="12289" max="12289" width="8.7109375" customWidth="1"/>
    <col min="12290" max="12294" width="14.28515625" customWidth="1"/>
    <col min="12544" max="12544" width="46.42578125" bestFit="1" customWidth="1"/>
    <col min="12545" max="12545" width="8.7109375" customWidth="1"/>
    <col min="12546" max="12550" width="14.28515625" customWidth="1"/>
    <col min="12800" max="12800" width="46.42578125" bestFit="1" customWidth="1"/>
    <col min="12801" max="12801" width="8.7109375" customWidth="1"/>
    <col min="12802" max="12806" width="14.28515625" customWidth="1"/>
    <col min="13056" max="13056" width="46.42578125" bestFit="1" customWidth="1"/>
    <col min="13057" max="13057" width="8.7109375" customWidth="1"/>
    <col min="13058" max="13062" width="14.28515625" customWidth="1"/>
    <col min="13312" max="13312" width="46.42578125" bestFit="1" customWidth="1"/>
    <col min="13313" max="13313" width="8.7109375" customWidth="1"/>
    <col min="13314" max="13318" width="14.28515625" customWidth="1"/>
    <col min="13568" max="13568" width="46.42578125" bestFit="1" customWidth="1"/>
    <col min="13569" max="13569" width="8.7109375" customWidth="1"/>
    <col min="13570" max="13574" width="14.28515625" customWidth="1"/>
    <col min="13824" max="13824" width="46.42578125" bestFit="1" customWidth="1"/>
    <col min="13825" max="13825" width="8.7109375" customWidth="1"/>
    <col min="13826" max="13830" width="14.28515625" customWidth="1"/>
    <col min="14080" max="14080" width="46.42578125" bestFit="1" customWidth="1"/>
    <col min="14081" max="14081" width="8.7109375" customWidth="1"/>
    <col min="14082" max="14086" width="14.28515625" customWidth="1"/>
    <col min="14336" max="14336" width="46.42578125" bestFit="1" customWidth="1"/>
    <col min="14337" max="14337" width="8.7109375" customWidth="1"/>
    <col min="14338" max="14342" width="14.28515625" customWidth="1"/>
    <col min="14592" max="14592" width="46.42578125" bestFit="1" customWidth="1"/>
    <col min="14593" max="14593" width="8.7109375" customWidth="1"/>
    <col min="14594" max="14598" width="14.28515625" customWidth="1"/>
    <col min="14848" max="14848" width="46.42578125" bestFit="1" customWidth="1"/>
    <col min="14849" max="14849" width="8.7109375" customWidth="1"/>
    <col min="14850" max="14854" width="14.28515625" customWidth="1"/>
    <col min="15104" max="15104" width="46.42578125" bestFit="1" customWidth="1"/>
    <col min="15105" max="15105" width="8.7109375" customWidth="1"/>
    <col min="15106" max="15110" width="14.28515625" customWidth="1"/>
    <col min="15360" max="15360" width="46.42578125" bestFit="1" customWidth="1"/>
    <col min="15361" max="15361" width="8.7109375" customWidth="1"/>
    <col min="15362" max="15366" width="14.28515625" customWidth="1"/>
    <col min="15616" max="15616" width="46.42578125" bestFit="1" customWidth="1"/>
    <col min="15617" max="15617" width="8.7109375" customWidth="1"/>
    <col min="15618" max="15622" width="14.28515625" customWidth="1"/>
    <col min="15872" max="15872" width="46.42578125" bestFit="1" customWidth="1"/>
    <col min="15873" max="15873" width="8.7109375" customWidth="1"/>
    <col min="15874" max="15878" width="14.28515625" customWidth="1"/>
    <col min="16128" max="16128" width="46.42578125" bestFit="1" customWidth="1"/>
    <col min="16129" max="16129" width="8.7109375" customWidth="1"/>
    <col min="16130" max="16134" width="14.28515625" customWidth="1"/>
  </cols>
  <sheetData>
    <row r="1" spans="1:8" ht="15">
      <c r="A1" s="35" t="s">
        <v>1866</v>
      </c>
      <c r="B1" s="34"/>
      <c r="C1" s="34"/>
      <c r="D1" s="34"/>
      <c r="E1" s="34"/>
      <c r="F1" s="34"/>
    </row>
    <row r="2" spans="1:8" ht="15">
      <c r="A2" s="35"/>
      <c r="B2" s="34"/>
      <c r="C2" s="34"/>
      <c r="D2" s="34"/>
      <c r="E2" s="34"/>
      <c r="F2" s="34"/>
    </row>
    <row r="3" spans="1:8" ht="13.5" thickBot="1">
      <c r="C3" s="17" t="s">
        <v>251</v>
      </c>
      <c r="D3" s="17" t="s">
        <v>251</v>
      </c>
      <c r="E3" s="17" t="s">
        <v>251</v>
      </c>
      <c r="F3" s="17" t="s">
        <v>44</v>
      </c>
      <c r="G3" s="300" t="s">
        <v>1701</v>
      </c>
    </row>
    <row r="4" spans="1:8" ht="13.5" thickTop="1">
      <c r="A4" s="39"/>
      <c r="B4" s="40"/>
      <c r="C4" s="41" t="s">
        <v>55</v>
      </c>
      <c r="D4" s="41" t="s">
        <v>55</v>
      </c>
      <c r="E4" s="41" t="s">
        <v>55</v>
      </c>
      <c r="F4" s="41"/>
      <c r="G4" s="154"/>
    </row>
    <row r="5" spans="1:8" ht="13.5" thickBot="1">
      <c r="A5" s="42"/>
      <c r="B5" s="43"/>
      <c r="C5" s="44" t="s">
        <v>58</v>
      </c>
      <c r="D5" s="44" t="s">
        <v>57</v>
      </c>
      <c r="E5" s="44" t="s">
        <v>59</v>
      </c>
      <c r="F5" s="44" t="s">
        <v>57</v>
      </c>
      <c r="G5" s="155" t="s">
        <v>57</v>
      </c>
      <c r="H5" s="55" t="s">
        <v>252</v>
      </c>
    </row>
    <row r="6" spans="1:8" ht="13.5" thickTop="1">
      <c r="A6" s="45" t="s">
        <v>60</v>
      </c>
      <c r="B6" s="46"/>
      <c r="C6" s="47"/>
      <c r="D6" s="47"/>
      <c r="E6" s="47"/>
      <c r="F6" s="47"/>
    </row>
    <row r="7" spans="1:8">
      <c r="A7" s="30" t="s">
        <v>1278</v>
      </c>
      <c r="B7" s="30" t="s">
        <v>1279</v>
      </c>
      <c r="C7" s="56">
        <v>423000</v>
      </c>
      <c r="D7" s="56">
        <v>0</v>
      </c>
      <c r="E7" s="56">
        <v>-423000</v>
      </c>
      <c r="F7" s="56">
        <v>639449.99999999988</v>
      </c>
      <c r="G7" s="58">
        <f>'Fund Distributions'!D21</f>
        <v>639449.99999999988</v>
      </c>
      <c r="H7" t="s">
        <v>1415</v>
      </c>
    </row>
    <row r="8" spans="1:8">
      <c r="A8" s="30" t="s">
        <v>1476</v>
      </c>
      <c r="B8" s="30"/>
      <c r="C8" s="56"/>
      <c r="D8" s="56"/>
      <c r="E8" s="56"/>
      <c r="F8" s="56">
        <v>965222</v>
      </c>
      <c r="G8" s="58">
        <v>965222</v>
      </c>
    </row>
    <row r="9" spans="1:8">
      <c r="A9" s="30" t="s">
        <v>1280</v>
      </c>
      <c r="B9" s="30" t="s">
        <v>1281</v>
      </c>
      <c r="C9" s="56">
        <v>19840</v>
      </c>
      <c r="D9" s="56">
        <v>0</v>
      </c>
      <c r="E9" s="56">
        <v>-19840</v>
      </c>
      <c r="F9" s="56">
        <v>23808</v>
      </c>
      <c r="G9" s="58">
        <f>(-E9)/10*12</f>
        <v>23808</v>
      </c>
    </row>
    <row r="10" spans="1:8">
      <c r="A10" s="30" t="s">
        <v>1282</v>
      </c>
      <c r="B10" s="30" t="s">
        <v>1283</v>
      </c>
      <c r="C10" s="56">
        <v>5111.3599999999997</v>
      </c>
      <c r="D10" s="56">
        <v>0</v>
      </c>
      <c r="E10" s="56">
        <v>-5111.3599999999997</v>
      </c>
      <c r="F10" s="56">
        <v>6133.6319999999996</v>
      </c>
      <c r="G10" s="58">
        <f t="shared" ref="G10:G36" si="0">(-E10)/10*12</f>
        <v>6133.6319999999996</v>
      </c>
    </row>
    <row r="11" spans="1:8">
      <c r="A11" s="30" t="s">
        <v>1284</v>
      </c>
      <c r="B11" s="30" t="s">
        <v>1285</v>
      </c>
      <c r="C11" s="56">
        <v>4802</v>
      </c>
      <c r="D11" s="56">
        <v>0</v>
      </c>
      <c r="E11" s="56">
        <v>-4802</v>
      </c>
      <c r="F11" s="56">
        <v>5762.4</v>
      </c>
      <c r="G11" s="58">
        <f t="shared" si="0"/>
        <v>5762.4</v>
      </c>
    </row>
    <row r="12" spans="1:8">
      <c r="A12" s="30" t="s">
        <v>1286</v>
      </c>
      <c r="B12" s="30" t="s">
        <v>1287</v>
      </c>
      <c r="C12" s="56">
        <v>25703.360000000001</v>
      </c>
      <c r="D12" s="56">
        <v>0</v>
      </c>
      <c r="E12" s="56">
        <v>-25703.360000000001</v>
      </c>
      <c r="F12" s="56">
        <v>30844.032000000003</v>
      </c>
      <c r="G12" s="58">
        <f t="shared" si="0"/>
        <v>30844.032000000003</v>
      </c>
    </row>
    <row r="13" spans="1:8">
      <c r="A13" s="30" t="s">
        <v>1288</v>
      </c>
      <c r="B13" s="30" t="s">
        <v>1289</v>
      </c>
      <c r="C13" s="56">
        <v>10527.36</v>
      </c>
      <c r="D13" s="56">
        <v>0</v>
      </c>
      <c r="E13" s="56">
        <v>-10527.36</v>
      </c>
      <c r="F13" s="56">
        <v>12632.832000000002</v>
      </c>
      <c r="G13" s="58">
        <f t="shared" si="0"/>
        <v>12632.832000000002</v>
      </c>
    </row>
    <row r="14" spans="1:8">
      <c r="A14" s="30" t="s">
        <v>1290</v>
      </c>
      <c r="B14" s="30" t="s">
        <v>1291</v>
      </c>
      <c r="C14" s="56">
        <v>32689.360000000001</v>
      </c>
      <c r="D14" s="56">
        <v>0</v>
      </c>
      <c r="E14" s="56">
        <v>-32689.360000000001</v>
      </c>
      <c r="F14" s="56">
        <v>39227.232000000004</v>
      </c>
      <c r="G14" s="58">
        <f t="shared" si="0"/>
        <v>39227.232000000004</v>
      </c>
    </row>
    <row r="15" spans="1:8">
      <c r="A15" s="30" t="s">
        <v>1292</v>
      </c>
      <c r="B15" s="30" t="s">
        <v>1293</v>
      </c>
      <c r="C15" s="56">
        <v>31506</v>
      </c>
      <c r="D15" s="56">
        <v>0</v>
      </c>
      <c r="E15" s="56">
        <v>-31506</v>
      </c>
      <c r="F15" s="56">
        <v>37807.199999999997</v>
      </c>
      <c r="G15" s="58">
        <f t="shared" si="0"/>
        <v>37807.199999999997</v>
      </c>
    </row>
    <row r="16" spans="1:8">
      <c r="A16" s="30" t="s">
        <v>1294</v>
      </c>
      <c r="B16" s="30" t="s">
        <v>1295</v>
      </c>
      <c r="C16" s="56">
        <v>11666.64</v>
      </c>
      <c r="D16" s="56">
        <v>0</v>
      </c>
      <c r="E16" s="56">
        <v>-11666.64</v>
      </c>
      <c r="F16" s="56">
        <v>13999.968000000001</v>
      </c>
      <c r="G16" s="58">
        <f t="shared" si="0"/>
        <v>13999.968000000001</v>
      </c>
    </row>
    <row r="17" spans="1:7">
      <c r="A17" s="30" t="s">
        <v>1296</v>
      </c>
      <c r="B17" s="30" t="s">
        <v>1297</v>
      </c>
      <c r="C17" s="56">
        <v>9502.64</v>
      </c>
      <c r="D17" s="56">
        <v>0</v>
      </c>
      <c r="E17" s="56">
        <v>-9502.64</v>
      </c>
      <c r="F17" s="56">
        <v>11403.167999999998</v>
      </c>
      <c r="G17" s="58">
        <f t="shared" si="0"/>
        <v>11403.167999999998</v>
      </c>
    </row>
    <row r="18" spans="1:7">
      <c r="A18" s="30" t="s">
        <v>1298</v>
      </c>
      <c r="B18" s="30" t="s">
        <v>1299</v>
      </c>
      <c r="C18" s="56">
        <v>2882.64</v>
      </c>
      <c r="D18" s="56">
        <v>0</v>
      </c>
      <c r="E18" s="56">
        <v>-2882.64</v>
      </c>
      <c r="F18" s="56">
        <v>3459.1680000000001</v>
      </c>
      <c r="G18" s="58">
        <f t="shared" si="0"/>
        <v>3459.1680000000001</v>
      </c>
    </row>
    <row r="19" spans="1:7">
      <c r="A19" s="30" t="s">
        <v>1300</v>
      </c>
      <c r="B19" s="30" t="s">
        <v>1301</v>
      </c>
      <c r="C19" s="56">
        <v>4991.3599999999997</v>
      </c>
      <c r="D19" s="56">
        <v>0</v>
      </c>
      <c r="E19" s="56">
        <v>-4991.3599999999997</v>
      </c>
      <c r="F19" s="56">
        <v>5989.6319999999996</v>
      </c>
      <c r="G19" s="58">
        <f t="shared" si="0"/>
        <v>5989.6319999999996</v>
      </c>
    </row>
    <row r="20" spans="1:7">
      <c r="A20" s="30" t="s">
        <v>1302</v>
      </c>
      <c r="B20" s="30" t="s">
        <v>1303</v>
      </c>
      <c r="C20" s="56">
        <v>9064.64</v>
      </c>
      <c r="D20" s="56">
        <v>0</v>
      </c>
      <c r="E20" s="56">
        <v>-9064.64</v>
      </c>
      <c r="F20" s="56">
        <v>10877.567999999999</v>
      </c>
      <c r="G20" s="58">
        <f t="shared" si="0"/>
        <v>10877.567999999999</v>
      </c>
    </row>
    <row r="21" spans="1:7">
      <c r="A21" s="30" t="s">
        <v>1304</v>
      </c>
      <c r="B21" s="30" t="s">
        <v>1305</v>
      </c>
      <c r="C21" s="56">
        <v>17618</v>
      </c>
      <c r="D21" s="56">
        <v>0</v>
      </c>
      <c r="E21" s="56">
        <v>-17618</v>
      </c>
      <c r="F21" s="56">
        <v>21141.599999999999</v>
      </c>
      <c r="G21" s="58">
        <f t="shared" si="0"/>
        <v>21141.599999999999</v>
      </c>
    </row>
    <row r="22" spans="1:7">
      <c r="A22" s="30" t="s">
        <v>1306</v>
      </c>
      <c r="B22" s="30" t="s">
        <v>1307</v>
      </c>
      <c r="C22" s="56">
        <v>20174</v>
      </c>
      <c r="D22" s="56">
        <v>0</v>
      </c>
      <c r="E22" s="56">
        <v>-20174</v>
      </c>
      <c r="F22" s="56">
        <v>24208.800000000003</v>
      </c>
      <c r="G22" s="58">
        <f t="shared" si="0"/>
        <v>24208.800000000003</v>
      </c>
    </row>
    <row r="23" spans="1:7">
      <c r="A23" s="30" t="s">
        <v>1308</v>
      </c>
      <c r="B23" s="30" t="s">
        <v>1309</v>
      </c>
      <c r="C23" s="56">
        <v>17931.36</v>
      </c>
      <c r="D23" s="56">
        <v>0</v>
      </c>
      <c r="E23" s="56">
        <v>-17931.36</v>
      </c>
      <c r="F23" s="56">
        <v>21517.631999999998</v>
      </c>
      <c r="G23" s="58">
        <f t="shared" si="0"/>
        <v>21517.631999999998</v>
      </c>
    </row>
    <row r="24" spans="1:7">
      <c r="A24" s="30" t="s">
        <v>1310</v>
      </c>
      <c r="B24" s="30" t="s">
        <v>1311</v>
      </c>
      <c r="C24" s="56">
        <v>18006.64</v>
      </c>
      <c r="D24" s="56">
        <v>0</v>
      </c>
      <c r="E24" s="56">
        <v>-18006.64</v>
      </c>
      <c r="F24" s="56">
        <v>21607.968000000001</v>
      </c>
      <c r="G24" s="58">
        <f t="shared" si="0"/>
        <v>21607.968000000001</v>
      </c>
    </row>
    <row r="25" spans="1:7">
      <c r="A25" s="30" t="s">
        <v>1312</v>
      </c>
      <c r="B25" s="30" t="s">
        <v>1313</v>
      </c>
      <c r="C25" s="56">
        <v>64328.639999999999</v>
      </c>
      <c r="D25" s="56">
        <v>0</v>
      </c>
      <c r="E25" s="56">
        <v>-64328.639999999999</v>
      </c>
      <c r="F25" s="56">
        <v>77194.367999999988</v>
      </c>
      <c r="G25" s="58">
        <f t="shared" si="0"/>
        <v>77194.367999999988</v>
      </c>
    </row>
    <row r="26" spans="1:7">
      <c r="A26" s="30" t="s">
        <v>1314</v>
      </c>
      <c r="B26" s="30" t="s">
        <v>1315</v>
      </c>
      <c r="C26" s="56">
        <v>47154.64</v>
      </c>
      <c r="D26" s="56">
        <v>0</v>
      </c>
      <c r="E26" s="56">
        <v>-47154.64</v>
      </c>
      <c r="F26" s="56">
        <v>56585.567999999999</v>
      </c>
      <c r="G26" s="58">
        <f t="shared" si="0"/>
        <v>56585.567999999999</v>
      </c>
    </row>
    <row r="27" spans="1:7">
      <c r="A27" s="30" t="s">
        <v>1316</v>
      </c>
      <c r="B27" s="30" t="s">
        <v>1317</v>
      </c>
      <c r="C27" s="56">
        <v>30013.360000000001</v>
      </c>
      <c r="D27" s="56">
        <v>0</v>
      </c>
      <c r="E27" s="56">
        <v>-30013.360000000001</v>
      </c>
      <c r="F27" s="56">
        <v>36016.032000000007</v>
      </c>
      <c r="G27" s="58">
        <f t="shared" si="0"/>
        <v>36016.032000000007</v>
      </c>
    </row>
    <row r="28" spans="1:7">
      <c r="A28" s="30" t="s">
        <v>1318</v>
      </c>
      <c r="B28" s="30" t="s">
        <v>1319</v>
      </c>
      <c r="C28" s="56">
        <v>16398</v>
      </c>
      <c r="D28" s="56">
        <v>0</v>
      </c>
      <c r="E28" s="56">
        <v>-16398</v>
      </c>
      <c r="F28" s="56">
        <v>19677.599999999999</v>
      </c>
      <c r="G28" s="58">
        <f t="shared" si="0"/>
        <v>19677.599999999999</v>
      </c>
    </row>
    <row r="29" spans="1:7">
      <c r="A29" s="30" t="s">
        <v>1320</v>
      </c>
      <c r="B29" s="30" t="s">
        <v>1321</v>
      </c>
      <c r="C29" s="56">
        <v>37355.360000000001</v>
      </c>
      <c r="D29" s="56">
        <v>0</v>
      </c>
      <c r="E29" s="56">
        <v>-37355.360000000001</v>
      </c>
      <c r="F29" s="56">
        <v>44826.432000000001</v>
      </c>
      <c r="G29" s="58">
        <f t="shared" si="0"/>
        <v>44826.432000000001</v>
      </c>
    </row>
    <row r="30" spans="1:7">
      <c r="A30" s="30" t="s">
        <v>1322</v>
      </c>
      <c r="B30" s="30" t="s">
        <v>1323</v>
      </c>
      <c r="C30" s="56">
        <v>40165.339999999997</v>
      </c>
      <c r="D30" s="56">
        <v>0</v>
      </c>
      <c r="E30" s="56">
        <v>-40165.339999999997</v>
      </c>
      <c r="F30" s="56">
        <v>48198.407999999996</v>
      </c>
      <c r="G30" s="58">
        <f t="shared" si="0"/>
        <v>48198.407999999996</v>
      </c>
    </row>
    <row r="31" spans="1:7">
      <c r="A31" s="30" t="s">
        <v>1324</v>
      </c>
      <c r="B31" s="30" t="s">
        <v>1325</v>
      </c>
      <c r="C31" s="56">
        <v>23084.639999999999</v>
      </c>
      <c r="D31" s="56">
        <v>0</v>
      </c>
      <c r="E31" s="56">
        <v>-23084.639999999999</v>
      </c>
      <c r="F31" s="56">
        <v>27701.567999999999</v>
      </c>
      <c r="G31" s="58">
        <f t="shared" si="0"/>
        <v>27701.567999999999</v>
      </c>
    </row>
    <row r="32" spans="1:7">
      <c r="A32" s="30" t="s">
        <v>1326</v>
      </c>
      <c r="B32" s="30" t="s">
        <v>1327</v>
      </c>
      <c r="C32" s="56">
        <v>21936</v>
      </c>
      <c r="D32" s="56">
        <v>0</v>
      </c>
      <c r="E32" s="56">
        <v>-21936</v>
      </c>
      <c r="F32" s="56">
        <v>26323.199999999997</v>
      </c>
      <c r="G32" s="58">
        <f t="shared" si="0"/>
        <v>26323.199999999997</v>
      </c>
    </row>
    <row r="33" spans="1:7">
      <c r="A33" s="30" t="s">
        <v>1328</v>
      </c>
      <c r="B33" s="30" t="s">
        <v>1329</v>
      </c>
      <c r="C33" s="56">
        <v>41561.360000000001</v>
      </c>
      <c r="D33" s="56">
        <v>0</v>
      </c>
      <c r="E33" s="56">
        <v>-41561.360000000001</v>
      </c>
      <c r="F33" s="56">
        <v>49873.632000000005</v>
      </c>
      <c r="G33" s="58">
        <f t="shared" si="0"/>
        <v>49873.632000000005</v>
      </c>
    </row>
    <row r="34" spans="1:7">
      <c r="A34" s="30" t="s">
        <v>1330</v>
      </c>
      <c r="B34" s="30" t="s">
        <v>1331</v>
      </c>
      <c r="C34" s="56">
        <v>44123.360000000001</v>
      </c>
      <c r="D34" s="56">
        <v>0</v>
      </c>
      <c r="E34" s="56">
        <v>-44123.360000000001</v>
      </c>
      <c r="F34" s="56">
        <v>52948.032000000007</v>
      </c>
      <c r="G34" s="58">
        <f t="shared" si="0"/>
        <v>52948.032000000007</v>
      </c>
    </row>
    <row r="35" spans="1:7">
      <c r="A35" s="30" t="s">
        <v>1332</v>
      </c>
      <c r="B35" s="30" t="s">
        <v>1333</v>
      </c>
      <c r="C35" s="56">
        <v>18030.64</v>
      </c>
      <c r="D35" s="56">
        <v>0</v>
      </c>
      <c r="E35" s="56">
        <v>-18030.64</v>
      </c>
      <c r="F35" s="56">
        <v>21636.767999999996</v>
      </c>
      <c r="G35" s="58">
        <f t="shared" si="0"/>
        <v>21636.767999999996</v>
      </c>
    </row>
    <row r="36" spans="1:7">
      <c r="A36" s="30" t="s">
        <v>1334</v>
      </c>
      <c r="B36" s="30" t="s">
        <v>1335</v>
      </c>
      <c r="C36" s="56">
        <v>5584.66</v>
      </c>
      <c r="D36" s="56">
        <v>0</v>
      </c>
      <c r="E36" s="56">
        <v>-5584.66</v>
      </c>
      <c r="F36" s="56">
        <v>6701.5920000000006</v>
      </c>
      <c r="G36" s="58">
        <f t="shared" si="0"/>
        <v>6701.5920000000006</v>
      </c>
    </row>
    <row r="37" spans="1:7">
      <c r="A37" s="30" t="s">
        <v>1336</v>
      </c>
      <c r="B37" s="30" t="s">
        <v>1337</v>
      </c>
      <c r="C37" s="56">
        <v>6180</v>
      </c>
      <c r="D37" s="56">
        <v>0</v>
      </c>
      <c r="E37" s="56">
        <v>-6180</v>
      </c>
      <c r="F37" s="56">
        <v>7416</v>
      </c>
      <c r="G37" s="58">
        <f>-(E37)/10*12</f>
        <v>7416</v>
      </c>
    </row>
    <row r="38" spans="1:7">
      <c r="A38" s="30" t="s">
        <v>1338</v>
      </c>
      <c r="B38" s="30" t="s">
        <v>1339</v>
      </c>
      <c r="C38" s="56">
        <v>9285</v>
      </c>
      <c r="D38" s="56">
        <v>0</v>
      </c>
      <c r="E38" s="56">
        <v>-9285</v>
      </c>
      <c r="F38" s="56">
        <v>11142</v>
      </c>
      <c r="G38" s="58">
        <f>-(E38)/10*12</f>
        <v>11142</v>
      </c>
    </row>
    <row r="39" spans="1:7">
      <c r="A39" s="30"/>
      <c r="B39" s="30"/>
      <c r="C39" s="56"/>
      <c r="D39" s="56"/>
      <c r="E39" s="56"/>
      <c r="F39" s="56"/>
    </row>
    <row r="40" spans="1:7" ht="13.5" thickBot="1">
      <c r="A40" s="49" t="s">
        <v>115</v>
      </c>
      <c r="B40" s="50"/>
      <c r="C40" s="57">
        <v>1070218.3599999999</v>
      </c>
      <c r="D40" s="57">
        <v>0</v>
      </c>
      <c r="E40" s="57">
        <v>-1070218.3599999999</v>
      </c>
      <c r="F40" s="57">
        <v>2381334.0320000011</v>
      </c>
      <c r="G40" s="301">
        <f>SUM(G7:G38)</f>
        <v>2381334.0320000011</v>
      </c>
    </row>
    <row r="41" spans="1:7">
      <c r="A41" s="46"/>
      <c r="C41" s="56"/>
      <c r="D41" s="56"/>
      <c r="E41" s="56"/>
      <c r="F41" s="56"/>
    </row>
    <row r="42" spans="1:7">
      <c r="A42" s="45" t="s">
        <v>116</v>
      </c>
      <c r="C42" s="56"/>
      <c r="D42" s="56"/>
      <c r="E42" s="56"/>
      <c r="F42" s="56"/>
    </row>
    <row r="43" spans="1:7">
      <c r="A43" s="30" t="s">
        <v>151</v>
      </c>
      <c r="B43" s="30" t="s">
        <v>1340</v>
      </c>
      <c r="C43" s="56">
        <v>411.61</v>
      </c>
      <c r="D43" s="56">
        <v>0</v>
      </c>
      <c r="E43" s="56">
        <v>-411.61</v>
      </c>
      <c r="F43" s="56">
        <v>500</v>
      </c>
      <c r="G43" s="58">
        <f>500</f>
        <v>500</v>
      </c>
    </row>
    <row r="44" spans="1:7">
      <c r="A44" s="30" t="s">
        <v>1341</v>
      </c>
      <c r="B44" s="30" t="s">
        <v>1342</v>
      </c>
      <c r="C44" s="56">
        <v>3702.28</v>
      </c>
      <c r="D44" s="56">
        <v>0</v>
      </c>
      <c r="E44" s="56">
        <v>-3702.28</v>
      </c>
      <c r="F44" s="56">
        <v>5000</v>
      </c>
      <c r="G44" s="58">
        <f>5000</f>
        <v>5000</v>
      </c>
    </row>
    <row r="45" spans="1:7">
      <c r="A45" s="30" t="s">
        <v>1343</v>
      </c>
      <c r="B45" s="30" t="s">
        <v>1344</v>
      </c>
      <c r="C45" s="56">
        <v>3041.42</v>
      </c>
      <c r="D45" s="56">
        <v>0</v>
      </c>
      <c r="E45" s="56">
        <v>-3041.42</v>
      </c>
      <c r="F45" s="56">
        <v>3649.7039999999997</v>
      </c>
      <c r="G45" s="58">
        <f>C45/10*12</f>
        <v>3649.7039999999997</v>
      </c>
    </row>
    <row r="46" spans="1:7">
      <c r="A46" s="30" t="s">
        <v>1345</v>
      </c>
      <c r="B46" s="30" t="s">
        <v>1346</v>
      </c>
      <c r="C46" s="56">
        <v>4820.43</v>
      </c>
      <c r="D46" s="56">
        <v>0</v>
      </c>
      <c r="E46" s="56">
        <v>-4820.43</v>
      </c>
      <c r="F46" s="56">
        <v>5784.5159999999996</v>
      </c>
      <c r="G46" s="58">
        <f t="shared" ref="G46:G47" si="1">C46/10*12</f>
        <v>5784.5159999999996</v>
      </c>
    </row>
    <row r="47" spans="1:7">
      <c r="A47" s="30" t="s">
        <v>1347</v>
      </c>
      <c r="B47" s="30" t="s">
        <v>1348</v>
      </c>
      <c r="C47" s="56">
        <v>6980.96</v>
      </c>
      <c r="D47" s="56">
        <v>0</v>
      </c>
      <c r="E47" s="56">
        <v>-6980.96</v>
      </c>
      <c r="F47" s="56">
        <v>8377.152</v>
      </c>
      <c r="G47" s="58">
        <f t="shared" si="1"/>
        <v>8377.152</v>
      </c>
    </row>
    <row r="48" spans="1:7">
      <c r="A48" s="30" t="s">
        <v>205</v>
      </c>
      <c r="B48" s="30" t="s">
        <v>1349</v>
      </c>
      <c r="C48" s="56">
        <v>61608</v>
      </c>
      <c r="D48" s="56">
        <v>0</v>
      </c>
      <c r="E48" s="56">
        <v>-61608</v>
      </c>
      <c r="F48" s="56">
        <v>140000</v>
      </c>
      <c r="G48" s="58">
        <v>140000</v>
      </c>
    </row>
    <row r="49" spans="1:8">
      <c r="A49" s="30" t="s">
        <v>1350</v>
      </c>
      <c r="B49" s="30" t="s">
        <v>1351</v>
      </c>
      <c r="C49" s="56">
        <v>834.08</v>
      </c>
      <c r="D49" s="56">
        <v>0</v>
      </c>
      <c r="E49" s="56">
        <v>-834.08</v>
      </c>
      <c r="F49" s="56">
        <v>1000</v>
      </c>
      <c r="G49" s="58">
        <v>1000</v>
      </c>
    </row>
    <row r="50" spans="1:8">
      <c r="A50" s="30" t="s">
        <v>1352</v>
      </c>
      <c r="B50" s="30" t="s">
        <v>1353</v>
      </c>
      <c r="C50" s="56">
        <v>180000</v>
      </c>
      <c r="D50" s="56">
        <v>0</v>
      </c>
      <c r="E50" s="56">
        <v>-180000</v>
      </c>
      <c r="F50" s="56">
        <v>200000</v>
      </c>
      <c r="G50" s="58">
        <v>200000</v>
      </c>
    </row>
    <row r="51" spans="1:8">
      <c r="A51" s="30" t="s">
        <v>1472</v>
      </c>
      <c r="B51" s="30"/>
      <c r="C51" s="56"/>
      <c r="D51" s="56"/>
      <c r="E51" s="56"/>
      <c r="F51" s="56">
        <v>275000</v>
      </c>
      <c r="G51" s="58">
        <v>275000</v>
      </c>
      <c r="H51" t="s">
        <v>1072</v>
      </c>
    </row>
    <row r="52" spans="1:8">
      <c r="A52" s="30" t="s">
        <v>1354</v>
      </c>
      <c r="B52" s="30" t="s">
        <v>1355</v>
      </c>
      <c r="C52" s="56">
        <v>45685.26</v>
      </c>
      <c r="D52" s="56">
        <v>0</v>
      </c>
      <c r="E52" s="56">
        <v>-45685.26</v>
      </c>
      <c r="F52" s="56"/>
    </row>
    <row r="53" spans="1:8">
      <c r="A53" s="30" t="s">
        <v>1356</v>
      </c>
      <c r="B53" s="30" t="s">
        <v>1357</v>
      </c>
      <c r="C53" s="56">
        <v>14108.04</v>
      </c>
      <c r="D53" s="56">
        <v>0</v>
      </c>
      <c r="E53" s="56">
        <v>-14108.04</v>
      </c>
      <c r="F53" s="56"/>
    </row>
    <row r="54" spans="1:8">
      <c r="A54" s="30" t="s">
        <v>1358</v>
      </c>
      <c r="B54" s="30" t="s">
        <v>1359</v>
      </c>
      <c r="C54" s="56">
        <v>15999.3</v>
      </c>
      <c r="D54" s="56">
        <v>0</v>
      </c>
      <c r="E54" s="56">
        <v>-15999.3</v>
      </c>
      <c r="F54" s="56"/>
    </row>
    <row r="55" spans="1:8">
      <c r="A55" s="30" t="s">
        <v>1360</v>
      </c>
      <c r="B55" s="30" t="s">
        <v>1361</v>
      </c>
      <c r="C55" s="56">
        <v>53880.480000000003</v>
      </c>
      <c r="D55" s="56">
        <v>0</v>
      </c>
      <c r="E55" s="56">
        <v>-53880.480000000003</v>
      </c>
      <c r="F55" s="56"/>
    </row>
    <row r="56" spans="1:8">
      <c r="A56" s="30" t="s">
        <v>1362</v>
      </c>
      <c r="B56" s="30" t="s">
        <v>1363</v>
      </c>
      <c r="C56" s="56">
        <v>22730.31</v>
      </c>
      <c r="D56" s="56">
        <v>0</v>
      </c>
      <c r="E56" s="56">
        <v>-22730.31</v>
      </c>
      <c r="F56" s="56"/>
    </row>
    <row r="57" spans="1:8">
      <c r="A57" s="30" t="s">
        <v>1364</v>
      </c>
      <c r="B57" s="30" t="s">
        <v>1365</v>
      </c>
      <c r="C57" s="56">
        <v>49508.91</v>
      </c>
      <c r="D57" s="56">
        <v>0</v>
      </c>
      <c r="E57" s="56">
        <v>-49508.91</v>
      </c>
      <c r="F57" s="56"/>
    </row>
    <row r="58" spans="1:8">
      <c r="A58" s="30" t="s">
        <v>1366</v>
      </c>
      <c r="B58" s="30" t="s">
        <v>1367</v>
      </c>
      <c r="C58" s="56">
        <v>45584.639999999999</v>
      </c>
      <c r="D58" s="56">
        <v>0</v>
      </c>
      <c r="E58" s="56">
        <v>-45584.639999999999</v>
      </c>
      <c r="F58" s="56"/>
    </row>
    <row r="59" spans="1:8">
      <c r="A59" s="30" t="s">
        <v>1368</v>
      </c>
      <c r="B59" s="30" t="s">
        <v>1369</v>
      </c>
      <c r="C59" s="56">
        <v>17481.509999999998</v>
      </c>
      <c r="D59" s="56">
        <v>0</v>
      </c>
      <c r="E59" s="56">
        <v>-17481.509999999998</v>
      </c>
      <c r="F59" s="56"/>
    </row>
    <row r="60" spans="1:8">
      <c r="A60" s="30" t="s">
        <v>1370</v>
      </c>
      <c r="B60" s="30" t="s">
        <v>1371</v>
      </c>
      <c r="C60" s="56">
        <v>15946.92</v>
      </c>
      <c r="D60" s="56">
        <v>0</v>
      </c>
      <c r="E60" s="56">
        <v>-15946.92</v>
      </c>
      <c r="F60" s="56"/>
    </row>
    <row r="61" spans="1:8">
      <c r="A61" s="30" t="s">
        <v>1372</v>
      </c>
      <c r="B61" s="30" t="s">
        <v>1373</v>
      </c>
      <c r="C61" s="56">
        <v>4013.64</v>
      </c>
      <c r="D61" s="56">
        <v>0</v>
      </c>
      <c r="E61" s="56">
        <v>-4013.64</v>
      </c>
      <c r="F61" s="56"/>
    </row>
    <row r="62" spans="1:8">
      <c r="A62" s="30" t="s">
        <v>1374</v>
      </c>
      <c r="B62" s="30" t="s">
        <v>1375</v>
      </c>
      <c r="C62" s="56">
        <v>7157.43</v>
      </c>
      <c r="D62" s="56">
        <v>0</v>
      </c>
      <c r="E62" s="56">
        <v>-7157.43</v>
      </c>
      <c r="F62" s="56"/>
    </row>
    <row r="63" spans="1:8">
      <c r="A63" s="30" t="s">
        <v>1376</v>
      </c>
      <c r="B63" s="30" t="s">
        <v>1377</v>
      </c>
      <c r="C63" s="56">
        <v>12510.45</v>
      </c>
      <c r="D63" s="56">
        <v>0</v>
      </c>
      <c r="E63" s="56">
        <v>-12510.45</v>
      </c>
      <c r="F63" s="56"/>
    </row>
    <row r="64" spans="1:8">
      <c r="A64" s="30" t="s">
        <v>1378</v>
      </c>
      <c r="B64" s="30" t="s">
        <v>1379</v>
      </c>
      <c r="C64" s="56">
        <v>24446.43</v>
      </c>
      <c r="D64" s="56">
        <v>0</v>
      </c>
      <c r="E64" s="56">
        <v>-24446.43</v>
      </c>
      <c r="F64" s="56"/>
    </row>
    <row r="65" spans="1:7">
      <c r="A65" s="30" t="s">
        <v>1380</v>
      </c>
      <c r="B65" s="30" t="s">
        <v>1381</v>
      </c>
      <c r="C65" s="56">
        <v>27321.93</v>
      </c>
      <c r="D65" s="56">
        <v>0</v>
      </c>
      <c r="E65" s="56">
        <v>-27321.93</v>
      </c>
      <c r="F65" s="56"/>
    </row>
    <row r="66" spans="1:7">
      <c r="A66" s="30" t="s">
        <v>1382</v>
      </c>
      <c r="B66" s="30" t="s">
        <v>1383</v>
      </c>
      <c r="C66" s="56">
        <v>22564.080000000002</v>
      </c>
      <c r="D66" s="56">
        <v>0</v>
      </c>
      <c r="E66" s="56">
        <v>-22564.080000000002</v>
      </c>
      <c r="F66" s="56"/>
    </row>
    <row r="67" spans="1:7">
      <c r="A67" s="30" t="s">
        <v>1384</v>
      </c>
      <c r="B67" s="30" t="s">
        <v>1385</v>
      </c>
      <c r="C67" s="56">
        <v>22102.47</v>
      </c>
      <c r="D67" s="56">
        <v>0</v>
      </c>
      <c r="E67" s="56">
        <v>-22102.47</v>
      </c>
      <c r="F67" s="56"/>
    </row>
    <row r="68" spans="1:7">
      <c r="A68" s="30" t="s">
        <v>1386</v>
      </c>
      <c r="B68" s="30" t="s">
        <v>1387</v>
      </c>
      <c r="C68" s="56">
        <v>84078.81</v>
      </c>
      <c r="D68" s="56">
        <v>0</v>
      </c>
      <c r="E68" s="56">
        <v>-84078.81</v>
      </c>
      <c r="F68" s="56"/>
    </row>
    <row r="69" spans="1:7">
      <c r="A69" s="30" t="s">
        <v>1388</v>
      </c>
      <c r="B69" s="30" t="s">
        <v>1389</v>
      </c>
      <c r="C69" s="56">
        <v>63411.21</v>
      </c>
      <c r="D69" s="56">
        <v>0</v>
      </c>
      <c r="E69" s="56">
        <v>-63411.21</v>
      </c>
      <c r="F69" s="56"/>
    </row>
    <row r="70" spans="1:7">
      <c r="A70" s="30" t="s">
        <v>1390</v>
      </c>
      <c r="B70" s="30" t="s">
        <v>1391</v>
      </c>
      <c r="C70" s="56">
        <v>33453.18</v>
      </c>
      <c r="D70" s="56">
        <v>0</v>
      </c>
      <c r="E70" s="56">
        <v>-33453.18</v>
      </c>
      <c r="F70" s="56"/>
    </row>
    <row r="71" spans="1:7">
      <c r="A71" s="30" t="s">
        <v>1392</v>
      </c>
      <c r="B71" s="30" t="s">
        <v>1393</v>
      </c>
      <c r="C71" s="56">
        <v>20331.45</v>
      </c>
      <c r="D71" s="56">
        <v>0</v>
      </c>
      <c r="E71" s="56">
        <v>-20331.45</v>
      </c>
      <c r="F71" s="56"/>
    </row>
    <row r="72" spans="1:7">
      <c r="A72" s="30" t="s">
        <v>1394</v>
      </c>
      <c r="B72" s="30" t="s">
        <v>1395</v>
      </c>
      <c r="C72" s="56">
        <v>46650.42</v>
      </c>
      <c r="D72" s="56">
        <v>0</v>
      </c>
      <c r="E72" s="56">
        <v>-46650.42</v>
      </c>
      <c r="F72" s="56"/>
    </row>
    <row r="73" spans="1:7">
      <c r="A73" s="30" t="s">
        <v>1396</v>
      </c>
      <c r="B73" s="30" t="s">
        <v>1397</v>
      </c>
      <c r="C73" s="56">
        <v>45530.48</v>
      </c>
      <c r="D73" s="56">
        <v>0</v>
      </c>
      <c r="E73" s="56">
        <v>-45530.48</v>
      </c>
      <c r="F73" s="56"/>
    </row>
    <row r="74" spans="1:7">
      <c r="A74" s="30" t="s">
        <v>1398</v>
      </c>
      <c r="B74" s="30" t="s">
        <v>1399</v>
      </c>
      <c r="C74" s="56">
        <v>26054.55</v>
      </c>
      <c r="D74" s="56">
        <v>0</v>
      </c>
      <c r="E74" s="56">
        <v>-26054.55</v>
      </c>
      <c r="F74" s="56"/>
    </row>
    <row r="75" spans="1:7">
      <c r="A75" s="30" t="s">
        <v>1400</v>
      </c>
      <c r="B75" s="30" t="s">
        <v>1401</v>
      </c>
      <c r="C75" s="56">
        <v>24762.240000000002</v>
      </c>
      <c r="D75" s="56">
        <v>0</v>
      </c>
      <c r="E75" s="56">
        <v>-24762.240000000002</v>
      </c>
      <c r="F75" s="56"/>
    </row>
    <row r="76" spans="1:7">
      <c r="A76" s="30" t="s">
        <v>1402</v>
      </c>
      <c r="B76" s="30" t="s">
        <v>1403</v>
      </c>
      <c r="C76" s="56">
        <v>44509.68</v>
      </c>
      <c r="D76" s="56">
        <v>0</v>
      </c>
      <c r="E76" s="56">
        <v>-44509.68</v>
      </c>
      <c r="F76" s="56"/>
    </row>
    <row r="77" spans="1:7">
      <c r="A77" s="30" t="s">
        <v>1404</v>
      </c>
      <c r="B77" s="30" t="s">
        <v>1405</v>
      </c>
      <c r="C77" s="56">
        <v>47406.87</v>
      </c>
      <c r="D77" s="56">
        <v>0</v>
      </c>
      <c r="E77" s="56">
        <v>-47406.87</v>
      </c>
      <c r="F77" s="56"/>
    </row>
    <row r="78" spans="1:7">
      <c r="A78" s="30" t="s">
        <v>1406</v>
      </c>
      <c r="B78" s="30" t="s">
        <v>1407</v>
      </c>
      <c r="C78" s="56">
        <v>19447.47</v>
      </c>
      <c r="D78" s="56">
        <v>0</v>
      </c>
      <c r="E78" s="56">
        <v>-19447.47</v>
      </c>
      <c r="F78" s="56"/>
    </row>
    <row r="79" spans="1:7">
      <c r="A79" s="30" t="s">
        <v>1408</v>
      </c>
      <c r="B79" s="30" t="s">
        <v>1409</v>
      </c>
      <c r="C79" s="56">
        <v>2701.7</v>
      </c>
      <c r="D79" s="56">
        <v>0</v>
      </c>
      <c r="E79" s="56">
        <v>-2701.7</v>
      </c>
      <c r="F79" s="56"/>
    </row>
    <row r="80" spans="1:7">
      <c r="A80" s="30" t="s">
        <v>1410</v>
      </c>
      <c r="B80" s="30" t="s">
        <v>1411</v>
      </c>
      <c r="C80" s="56">
        <v>36537.9</v>
      </c>
      <c r="D80" s="56">
        <v>0</v>
      </c>
      <c r="E80" s="56">
        <v>-36537.9</v>
      </c>
      <c r="F80" s="56">
        <v>40000</v>
      </c>
      <c r="G80" s="58">
        <v>40000</v>
      </c>
    </row>
    <row r="81" spans="1:8">
      <c r="A81" s="30" t="s">
        <v>1475</v>
      </c>
      <c r="B81" s="30"/>
      <c r="C81" s="56"/>
      <c r="D81" s="56"/>
      <c r="E81" s="56"/>
      <c r="F81" s="56">
        <v>850000</v>
      </c>
      <c r="G81" s="58">
        <v>850000</v>
      </c>
    </row>
    <row r="82" spans="1:8">
      <c r="A82" s="30" t="s">
        <v>1473</v>
      </c>
      <c r="B82" s="30"/>
      <c r="C82" s="56"/>
      <c r="D82" s="56"/>
      <c r="E82" s="56"/>
      <c r="F82" s="56">
        <v>196296</v>
      </c>
      <c r="G82" s="265">
        <v>196296</v>
      </c>
    </row>
    <row r="83" spans="1:8">
      <c r="A83" s="30" t="s">
        <v>1474</v>
      </c>
      <c r="B83" s="30"/>
      <c r="C83" s="56"/>
      <c r="D83" s="56"/>
      <c r="E83" s="56"/>
      <c r="F83" s="56">
        <v>375000</v>
      </c>
      <c r="G83" s="58">
        <f>375000</f>
        <v>375000</v>
      </c>
      <c r="H83" t="s">
        <v>1072</v>
      </c>
    </row>
    <row r="84" spans="1:8">
      <c r="A84" s="30" t="s">
        <v>1412</v>
      </c>
      <c r="B84" s="30" t="s">
        <v>1413</v>
      </c>
      <c r="C84" s="56">
        <v>105.77</v>
      </c>
      <c r="D84" s="56">
        <v>0</v>
      </c>
      <c r="E84" s="56">
        <v>-105.77</v>
      </c>
      <c r="F84" s="56">
        <v>0</v>
      </c>
      <c r="G84" s="58">
        <v>0</v>
      </c>
    </row>
    <row r="85" spans="1:8">
      <c r="C85" s="56"/>
      <c r="D85" s="56"/>
      <c r="E85" s="56"/>
      <c r="F85" s="56"/>
    </row>
    <row r="86" spans="1:8" ht="13.5" thickBot="1">
      <c r="A86" s="49" t="s">
        <v>249</v>
      </c>
      <c r="B86" s="52"/>
      <c r="C86" s="57">
        <v>1157422.31</v>
      </c>
      <c r="D86" s="57">
        <v>0</v>
      </c>
      <c r="E86" s="57">
        <v>-1157422.31</v>
      </c>
      <c r="F86" s="57">
        <v>2100607.372</v>
      </c>
      <c r="G86" s="301">
        <f>SUM(G43:G84)</f>
        <v>2100607.372</v>
      </c>
    </row>
    <row r="87" spans="1:8">
      <c r="C87" s="56"/>
      <c r="D87" s="56"/>
      <c r="E87" s="56"/>
      <c r="F87" s="56"/>
    </row>
    <row r="88" spans="1:8" ht="13.5" thickBot="1">
      <c r="A88" s="43" t="s">
        <v>250</v>
      </c>
      <c r="B88" s="53"/>
      <c r="C88" s="54">
        <v>-87203.950000000186</v>
      </c>
      <c r="D88" s="54">
        <v>0</v>
      </c>
      <c r="E88" s="54">
        <v>87203.950000000186</v>
      </c>
      <c r="F88" s="54">
        <v>280726.66000000108</v>
      </c>
      <c r="G88" s="58">
        <f>G40-G86</f>
        <v>280726.66000000108</v>
      </c>
    </row>
    <row r="89" spans="1:8" ht="13.5" thickTop="1"/>
  </sheetData>
  <pageMargins left="0.7" right="0.7" top="0.75" bottom="0.75" header="0.3" footer="0.3"/>
  <pageSetup orientation="landscape" horizontalDpi="4294967293" vertic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workbookViewId="0">
      <selection activeCell="C34" sqref="C34"/>
    </sheetView>
  </sheetViews>
  <sheetFormatPr defaultRowHeight="12.75"/>
  <cols>
    <col min="1" max="1" width="38.42578125" customWidth="1"/>
    <col min="2" max="2" width="14.28515625" customWidth="1"/>
    <col min="3" max="3" width="32.5703125" customWidth="1"/>
    <col min="4" max="4" width="9" customWidth="1"/>
    <col min="5" max="5" width="8.7109375" customWidth="1"/>
    <col min="257" max="257" width="38.42578125" customWidth="1"/>
    <col min="258" max="258" width="14.28515625" customWidth="1"/>
    <col min="259" max="259" width="32.5703125" customWidth="1"/>
    <col min="260" max="260" width="9" customWidth="1"/>
    <col min="261" max="261" width="8.7109375" customWidth="1"/>
    <col min="513" max="513" width="38.42578125" customWidth="1"/>
    <col min="514" max="514" width="14.28515625" customWidth="1"/>
    <col min="515" max="515" width="32.5703125" customWidth="1"/>
    <col min="516" max="516" width="9" customWidth="1"/>
    <col min="517" max="517" width="8.7109375" customWidth="1"/>
    <col min="769" max="769" width="38.42578125" customWidth="1"/>
    <col min="770" max="770" width="14.28515625" customWidth="1"/>
    <col min="771" max="771" width="32.5703125" customWidth="1"/>
    <col min="772" max="772" width="9" customWidth="1"/>
    <col min="773" max="773" width="8.7109375" customWidth="1"/>
    <col min="1025" max="1025" width="38.42578125" customWidth="1"/>
    <col min="1026" max="1026" width="14.28515625" customWidth="1"/>
    <col min="1027" max="1027" width="32.5703125" customWidth="1"/>
    <col min="1028" max="1028" width="9" customWidth="1"/>
    <col min="1029" max="1029" width="8.7109375" customWidth="1"/>
    <col min="1281" max="1281" width="38.42578125" customWidth="1"/>
    <col min="1282" max="1282" width="14.28515625" customWidth="1"/>
    <col min="1283" max="1283" width="32.5703125" customWidth="1"/>
    <col min="1284" max="1284" width="9" customWidth="1"/>
    <col min="1285" max="1285" width="8.7109375" customWidth="1"/>
    <col min="1537" max="1537" width="38.42578125" customWidth="1"/>
    <col min="1538" max="1538" width="14.28515625" customWidth="1"/>
    <col min="1539" max="1539" width="32.5703125" customWidth="1"/>
    <col min="1540" max="1540" width="9" customWidth="1"/>
    <col min="1541" max="1541" width="8.7109375" customWidth="1"/>
    <col min="1793" max="1793" width="38.42578125" customWidth="1"/>
    <col min="1794" max="1794" width="14.28515625" customWidth="1"/>
    <col min="1795" max="1795" width="32.5703125" customWidth="1"/>
    <col min="1796" max="1796" width="9" customWidth="1"/>
    <col min="1797" max="1797" width="8.7109375" customWidth="1"/>
    <col min="2049" max="2049" width="38.42578125" customWidth="1"/>
    <col min="2050" max="2050" width="14.28515625" customWidth="1"/>
    <col min="2051" max="2051" width="32.5703125" customWidth="1"/>
    <col min="2052" max="2052" width="9" customWidth="1"/>
    <col min="2053" max="2053" width="8.7109375" customWidth="1"/>
    <col min="2305" max="2305" width="38.42578125" customWidth="1"/>
    <col min="2306" max="2306" width="14.28515625" customWidth="1"/>
    <col min="2307" max="2307" width="32.5703125" customWidth="1"/>
    <col min="2308" max="2308" width="9" customWidth="1"/>
    <col min="2309" max="2309" width="8.7109375" customWidth="1"/>
    <col min="2561" max="2561" width="38.42578125" customWidth="1"/>
    <col min="2562" max="2562" width="14.28515625" customWidth="1"/>
    <col min="2563" max="2563" width="32.5703125" customWidth="1"/>
    <col min="2564" max="2564" width="9" customWidth="1"/>
    <col min="2565" max="2565" width="8.7109375" customWidth="1"/>
    <col min="2817" max="2817" width="38.42578125" customWidth="1"/>
    <col min="2818" max="2818" width="14.28515625" customWidth="1"/>
    <col min="2819" max="2819" width="32.5703125" customWidth="1"/>
    <col min="2820" max="2820" width="9" customWidth="1"/>
    <col min="2821" max="2821" width="8.7109375" customWidth="1"/>
    <col min="3073" max="3073" width="38.42578125" customWidth="1"/>
    <col min="3074" max="3074" width="14.28515625" customWidth="1"/>
    <col min="3075" max="3075" width="32.5703125" customWidth="1"/>
    <col min="3076" max="3076" width="9" customWidth="1"/>
    <col min="3077" max="3077" width="8.7109375" customWidth="1"/>
    <col min="3329" max="3329" width="38.42578125" customWidth="1"/>
    <col min="3330" max="3330" width="14.28515625" customWidth="1"/>
    <col min="3331" max="3331" width="32.5703125" customWidth="1"/>
    <col min="3332" max="3332" width="9" customWidth="1"/>
    <col min="3333" max="3333" width="8.7109375" customWidth="1"/>
    <col min="3585" max="3585" width="38.42578125" customWidth="1"/>
    <col min="3586" max="3586" width="14.28515625" customWidth="1"/>
    <col min="3587" max="3587" width="32.5703125" customWidth="1"/>
    <col min="3588" max="3588" width="9" customWidth="1"/>
    <col min="3589" max="3589" width="8.7109375" customWidth="1"/>
    <col min="3841" max="3841" width="38.42578125" customWidth="1"/>
    <col min="3842" max="3842" width="14.28515625" customWidth="1"/>
    <col min="3843" max="3843" width="32.5703125" customWidth="1"/>
    <col min="3844" max="3844" width="9" customWidth="1"/>
    <col min="3845" max="3845" width="8.7109375" customWidth="1"/>
    <col min="4097" max="4097" width="38.42578125" customWidth="1"/>
    <col min="4098" max="4098" width="14.28515625" customWidth="1"/>
    <col min="4099" max="4099" width="32.5703125" customWidth="1"/>
    <col min="4100" max="4100" width="9" customWidth="1"/>
    <col min="4101" max="4101" width="8.7109375" customWidth="1"/>
    <col min="4353" max="4353" width="38.42578125" customWidth="1"/>
    <col min="4354" max="4354" width="14.28515625" customWidth="1"/>
    <col min="4355" max="4355" width="32.5703125" customWidth="1"/>
    <col min="4356" max="4356" width="9" customWidth="1"/>
    <col min="4357" max="4357" width="8.7109375" customWidth="1"/>
    <col min="4609" max="4609" width="38.42578125" customWidth="1"/>
    <col min="4610" max="4610" width="14.28515625" customWidth="1"/>
    <col min="4611" max="4611" width="32.5703125" customWidth="1"/>
    <col min="4612" max="4612" width="9" customWidth="1"/>
    <col min="4613" max="4613" width="8.7109375" customWidth="1"/>
    <col min="4865" max="4865" width="38.42578125" customWidth="1"/>
    <col min="4866" max="4866" width="14.28515625" customWidth="1"/>
    <col min="4867" max="4867" width="32.5703125" customWidth="1"/>
    <col min="4868" max="4868" width="9" customWidth="1"/>
    <col min="4869" max="4869" width="8.7109375" customWidth="1"/>
    <col min="5121" max="5121" width="38.42578125" customWidth="1"/>
    <col min="5122" max="5122" width="14.28515625" customWidth="1"/>
    <col min="5123" max="5123" width="32.5703125" customWidth="1"/>
    <col min="5124" max="5124" width="9" customWidth="1"/>
    <col min="5125" max="5125" width="8.7109375" customWidth="1"/>
    <col min="5377" max="5377" width="38.42578125" customWidth="1"/>
    <col min="5378" max="5378" width="14.28515625" customWidth="1"/>
    <col min="5379" max="5379" width="32.5703125" customWidth="1"/>
    <col min="5380" max="5380" width="9" customWidth="1"/>
    <col min="5381" max="5381" width="8.7109375" customWidth="1"/>
    <col min="5633" max="5633" width="38.42578125" customWidth="1"/>
    <col min="5634" max="5634" width="14.28515625" customWidth="1"/>
    <col min="5635" max="5635" width="32.5703125" customWidth="1"/>
    <col min="5636" max="5636" width="9" customWidth="1"/>
    <col min="5637" max="5637" width="8.7109375" customWidth="1"/>
    <col min="5889" max="5889" width="38.42578125" customWidth="1"/>
    <col min="5890" max="5890" width="14.28515625" customWidth="1"/>
    <col min="5891" max="5891" width="32.5703125" customWidth="1"/>
    <col min="5892" max="5892" width="9" customWidth="1"/>
    <col min="5893" max="5893" width="8.7109375" customWidth="1"/>
    <col min="6145" max="6145" width="38.42578125" customWidth="1"/>
    <col min="6146" max="6146" width="14.28515625" customWidth="1"/>
    <col min="6147" max="6147" width="32.5703125" customWidth="1"/>
    <col min="6148" max="6148" width="9" customWidth="1"/>
    <col min="6149" max="6149" width="8.7109375" customWidth="1"/>
    <col min="6401" max="6401" width="38.42578125" customWidth="1"/>
    <col min="6402" max="6402" width="14.28515625" customWidth="1"/>
    <col min="6403" max="6403" width="32.5703125" customWidth="1"/>
    <col min="6404" max="6404" width="9" customWidth="1"/>
    <col min="6405" max="6405" width="8.7109375" customWidth="1"/>
    <col min="6657" max="6657" width="38.42578125" customWidth="1"/>
    <col min="6658" max="6658" width="14.28515625" customWidth="1"/>
    <col min="6659" max="6659" width="32.5703125" customWidth="1"/>
    <col min="6660" max="6660" width="9" customWidth="1"/>
    <col min="6661" max="6661" width="8.7109375" customWidth="1"/>
    <col min="6913" max="6913" width="38.42578125" customWidth="1"/>
    <col min="6914" max="6914" width="14.28515625" customWidth="1"/>
    <col min="6915" max="6915" width="32.5703125" customWidth="1"/>
    <col min="6916" max="6916" width="9" customWidth="1"/>
    <col min="6917" max="6917" width="8.7109375" customWidth="1"/>
    <col min="7169" max="7169" width="38.42578125" customWidth="1"/>
    <col min="7170" max="7170" width="14.28515625" customWidth="1"/>
    <col min="7171" max="7171" width="32.5703125" customWidth="1"/>
    <col min="7172" max="7172" width="9" customWidth="1"/>
    <col min="7173" max="7173" width="8.7109375" customWidth="1"/>
    <col min="7425" max="7425" width="38.42578125" customWidth="1"/>
    <col min="7426" max="7426" width="14.28515625" customWidth="1"/>
    <col min="7427" max="7427" width="32.5703125" customWidth="1"/>
    <col min="7428" max="7428" width="9" customWidth="1"/>
    <col min="7429" max="7429" width="8.7109375" customWidth="1"/>
    <col min="7681" max="7681" width="38.42578125" customWidth="1"/>
    <col min="7682" max="7682" width="14.28515625" customWidth="1"/>
    <col min="7683" max="7683" width="32.5703125" customWidth="1"/>
    <col min="7684" max="7684" width="9" customWidth="1"/>
    <col min="7685" max="7685" width="8.7109375" customWidth="1"/>
    <col min="7937" max="7937" width="38.42578125" customWidth="1"/>
    <col min="7938" max="7938" width="14.28515625" customWidth="1"/>
    <col min="7939" max="7939" width="32.5703125" customWidth="1"/>
    <col min="7940" max="7940" width="9" customWidth="1"/>
    <col min="7941" max="7941" width="8.7109375" customWidth="1"/>
    <col min="8193" max="8193" width="38.42578125" customWidth="1"/>
    <col min="8194" max="8194" width="14.28515625" customWidth="1"/>
    <col min="8195" max="8195" width="32.5703125" customWidth="1"/>
    <col min="8196" max="8196" width="9" customWidth="1"/>
    <col min="8197" max="8197" width="8.7109375" customWidth="1"/>
    <col min="8449" max="8449" width="38.42578125" customWidth="1"/>
    <col min="8450" max="8450" width="14.28515625" customWidth="1"/>
    <col min="8451" max="8451" width="32.5703125" customWidth="1"/>
    <col min="8452" max="8452" width="9" customWidth="1"/>
    <col min="8453" max="8453" width="8.7109375" customWidth="1"/>
    <col min="8705" max="8705" width="38.42578125" customWidth="1"/>
    <col min="8706" max="8706" width="14.28515625" customWidth="1"/>
    <col min="8707" max="8707" width="32.5703125" customWidth="1"/>
    <col min="8708" max="8708" width="9" customWidth="1"/>
    <col min="8709" max="8709" width="8.7109375" customWidth="1"/>
    <col min="8961" max="8961" width="38.42578125" customWidth="1"/>
    <col min="8962" max="8962" width="14.28515625" customWidth="1"/>
    <col min="8963" max="8963" width="32.5703125" customWidth="1"/>
    <col min="8964" max="8964" width="9" customWidth="1"/>
    <col min="8965" max="8965" width="8.7109375" customWidth="1"/>
    <col min="9217" max="9217" width="38.42578125" customWidth="1"/>
    <col min="9218" max="9218" width="14.28515625" customWidth="1"/>
    <col min="9219" max="9219" width="32.5703125" customWidth="1"/>
    <col min="9220" max="9220" width="9" customWidth="1"/>
    <col min="9221" max="9221" width="8.7109375" customWidth="1"/>
    <col min="9473" max="9473" width="38.42578125" customWidth="1"/>
    <col min="9474" max="9474" width="14.28515625" customWidth="1"/>
    <col min="9475" max="9475" width="32.5703125" customWidth="1"/>
    <col min="9476" max="9476" width="9" customWidth="1"/>
    <col min="9477" max="9477" width="8.7109375" customWidth="1"/>
    <col min="9729" max="9729" width="38.42578125" customWidth="1"/>
    <col min="9730" max="9730" width="14.28515625" customWidth="1"/>
    <col min="9731" max="9731" width="32.5703125" customWidth="1"/>
    <col min="9732" max="9732" width="9" customWidth="1"/>
    <col min="9733" max="9733" width="8.7109375" customWidth="1"/>
    <col min="9985" max="9985" width="38.42578125" customWidth="1"/>
    <col min="9986" max="9986" width="14.28515625" customWidth="1"/>
    <col min="9987" max="9987" width="32.5703125" customWidth="1"/>
    <col min="9988" max="9988" width="9" customWidth="1"/>
    <col min="9989" max="9989" width="8.7109375" customWidth="1"/>
    <col min="10241" max="10241" width="38.42578125" customWidth="1"/>
    <col min="10242" max="10242" width="14.28515625" customWidth="1"/>
    <col min="10243" max="10243" width="32.5703125" customWidth="1"/>
    <col min="10244" max="10244" width="9" customWidth="1"/>
    <col min="10245" max="10245" width="8.7109375" customWidth="1"/>
    <col min="10497" max="10497" width="38.42578125" customWidth="1"/>
    <col min="10498" max="10498" width="14.28515625" customWidth="1"/>
    <col min="10499" max="10499" width="32.5703125" customWidth="1"/>
    <col min="10500" max="10500" width="9" customWidth="1"/>
    <col min="10501" max="10501" width="8.7109375" customWidth="1"/>
    <col min="10753" max="10753" width="38.42578125" customWidth="1"/>
    <col min="10754" max="10754" width="14.28515625" customWidth="1"/>
    <col min="10755" max="10755" width="32.5703125" customWidth="1"/>
    <col min="10756" max="10756" width="9" customWidth="1"/>
    <col min="10757" max="10757" width="8.7109375" customWidth="1"/>
    <col min="11009" max="11009" width="38.42578125" customWidth="1"/>
    <col min="11010" max="11010" width="14.28515625" customWidth="1"/>
    <col min="11011" max="11011" width="32.5703125" customWidth="1"/>
    <col min="11012" max="11012" width="9" customWidth="1"/>
    <col min="11013" max="11013" width="8.7109375" customWidth="1"/>
    <col min="11265" max="11265" width="38.42578125" customWidth="1"/>
    <col min="11266" max="11266" width="14.28515625" customWidth="1"/>
    <col min="11267" max="11267" width="32.5703125" customWidth="1"/>
    <col min="11268" max="11268" width="9" customWidth="1"/>
    <col min="11269" max="11269" width="8.7109375" customWidth="1"/>
    <col min="11521" max="11521" width="38.42578125" customWidth="1"/>
    <col min="11522" max="11522" width="14.28515625" customWidth="1"/>
    <col min="11523" max="11523" width="32.5703125" customWidth="1"/>
    <col min="11524" max="11524" width="9" customWidth="1"/>
    <col min="11525" max="11525" width="8.7109375" customWidth="1"/>
    <col min="11777" max="11777" width="38.42578125" customWidth="1"/>
    <col min="11778" max="11778" width="14.28515625" customWidth="1"/>
    <col min="11779" max="11779" width="32.5703125" customWidth="1"/>
    <col min="11780" max="11780" width="9" customWidth="1"/>
    <col min="11781" max="11781" width="8.7109375" customWidth="1"/>
    <col min="12033" max="12033" width="38.42578125" customWidth="1"/>
    <col min="12034" max="12034" width="14.28515625" customWidth="1"/>
    <col min="12035" max="12035" width="32.5703125" customWidth="1"/>
    <col min="12036" max="12036" width="9" customWidth="1"/>
    <col min="12037" max="12037" width="8.7109375" customWidth="1"/>
    <col min="12289" max="12289" width="38.42578125" customWidth="1"/>
    <col min="12290" max="12290" width="14.28515625" customWidth="1"/>
    <col min="12291" max="12291" width="32.5703125" customWidth="1"/>
    <col min="12292" max="12292" width="9" customWidth="1"/>
    <col min="12293" max="12293" width="8.7109375" customWidth="1"/>
    <col min="12545" max="12545" width="38.42578125" customWidth="1"/>
    <col min="12546" max="12546" width="14.28515625" customWidth="1"/>
    <col min="12547" max="12547" width="32.5703125" customWidth="1"/>
    <col min="12548" max="12548" width="9" customWidth="1"/>
    <col min="12549" max="12549" width="8.7109375" customWidth="1"/>
    <col min="12801" max="12801" width="38.42578125" customWidth="1"/>
    <col min="12802" max="12802" width="14.28515625" customWidth="1"/>
    <col min="12803" max="12803" width="32.5703125" customWidth="1"/>
    <col min="12804" max="12804" width="9" customWidth="1"/>
    <col min="12805" max="12805" width="8.7109375" customWidth="1"/>
    <col min="13057" max="13057" width="38.42578125" customWidth="1"/>
    <col min="13058" max="13058" width="14.28515625" customWidth="1"/>
    <col min="13059" max="13059" width="32.5703125" customWidth="1"/>
    <col min="13060" max="13060" width="9" customWidth="1"/>
    <col min="13061" max="13061" width="8.7109375" customWidth="1"/>
    <col min="13313" max="13313" width="38.42578125" customWidth="1"/>
    <col min="13314" max="13314" width="14.28515625" customWidth="1"/>
    <col min="13315" max="13315" width="32.5703125" customWidth="1"/>
    <col min="13316" max="13316" width="9" customWidth="1"/>
    <col min="13317" max="13317" width="8.7109375" customWidth="1"/>
    <col min="13569" max="13569" width="38.42578125" customWidth="1"/>
    <col min="13570" max="13570" width="14.28515625" customWidth="1"/>
    <col min="13571" max="13571" width="32.5703125" customWidth="1"/>
    <col min="13572" max="13572" width="9" customWidth="1"/>
    <col min="13573" max="13573" width="8.7109375" customWidth="1"/>
    <col min="13825" max="13825" width="38.42578125" customWidth="1"/>
    <col min="13826" max="13826" width="14.28515625" customWidth="1"/>
    <col min="13827" max="13827" width="32.5703125" customWidth="1"/>
    <col min="13828" max="13828" width="9" customWidth="1"/>
    <col min="13829" max="13829" width="8.7109375" customWidth="1"/>
    <col min="14081" max="14081" width="38.42578125" customWidth="1"/>
    <col min="14082" max="14082" width="14.28515625" customWidth="1"/>
    <col min="14083" max="14083" width="32.5703125" customWidth="1"/>
    <col min="14084" max="14084" width="9" customWidth="1"/>
    <col min="14085" max="14085" width="8.7109375" customWidth="1"/>
    <col min="14337" max="14337" width="38.42578125" customWidth="1"/>
    <col min="14338" max="14338" width="14.28515625" customWidth="1"/>
    <col min="14339" max="14339" width="32.5703125" customWidth="1"/>
    <col min="14340" max="14340" width="9" customWidth="1"/>
    <col min="14341" max="14341" width="8.7109375" customWidth="1"/>
    <col min="14593" max="14593" width="38.42578125" customWidth="1"/>
    <col min="14594" max="14594" width="14.28515625" customWidth="1"/>
    <col min="14595" max="14595" width="32.5703125" customWidth="1"/>
    <col min="14596" max="14596" width="9" customWidth="1"/>
    <col min="14597" max="14597" width="8.7109375" customWidth="1"/>
    <col min="14849" max="14849" width="38.42578125" customWidth="1"/>
    <col min="14850" max="14850" width="14.28515625" customWidth="1"/>
    <col min="14851" max="14851" width="32.5703125" customWidth="1"/>
    <col min="14852" max="14852" width="9" customWidth="1"/>
    <col min="14853" max="14853" width="8.7109375" customWidth="1"/>
    <col min="15105" max="15105" width="38.42578125" customWidth="1"/>
    <col min="15106" max="15106" width="14.28515625" customWidth="1"/>
    <col min="15107" max="15107" width="32.5703125" customWidth="1"/>
    <col min="15108" max="15108" width="9" customWidth="1"/>
    <col min="15109" max="15109" width="8.7109375" customWidth="1"/>
    <col min="15361" max="15361" width="38.42578125" customWidth="1"/>
    <col min="15362" max="15362" width="14.28515625" customWidth="1"/>
    <col min="15363" max="15363" width="32.5703125" customWidth="1"/>
    <col min="15364" max="15364" width="9" customWidth="1"/>
    <col min="15365" max="15365" width="8.7109375" customWidth="1"/>
    <col min="15617" max="15617" width="38.42578125" customWidth="1"/>
    <col min="15618" max="15618" width="14.28515625" customWidth="1"/>
    <col min="15619" max="15619" width="32.5703125" customWidth="1"/>
    <col min="15620" max="15620" width="9" customWidth="1"/>
    <col min="15621" max="15621" width="8.7109375" customWidth="1"/>
    <col min="15873" max="15873" width="38.42578125" customWidth="1"/>
    <col min="15874" max="15874" width="14.28515625" customWidth="1"/>
    <col min="15875" max="15875" width="32.5703125" customWidth="1"/>
    <col min="15876" max="15876" width="9" customWidth="1"/>
    <col min="15877" max="15877" width="8.7109375" customWidth="1"/>
    <col min="16129" max="16129" width="38.42578125" customWidth="1"/>
    <col min="16130" max="16130" width="14.28515625" customWidth="1"/>
    <col min="16131" max="16131" width="32.5703125" customWidth="1"/>
    <col min="16132" max="16132" width="9" customWidth="1"/>
    <col min="16133" max="16133" width="8.7109375" customWidth="1"/>
  </cols>
  <sheetData>
    <row r="1" spans="1:5" ht="15.4" customHeight="1">
      <c r="A1" s="133" t="s">
        <v>1825</v>
      </c>
      <c r="B1" s="134"/>
      <c r="C1" s="135"/>
    </row>
    <row r="2" spans="1:5" ht="15.4" customHeight="1">
      <c r="A2" s="343" t="s">
        <v>1416</v>
      </c>
      <c r="B2" s="344"/>
      <c r="C2" s="345"/>
    </row>
    <row r="3" spans="1:5" ht="15.4" customHeight="1">
      <c r="A3" s="136" t="s">
        <v>1775</v>
      </c>
      <c r="B3" s="137"/>
      <c r="C3" s="138"/>
    </row>
    <row r="4" spans="1:5" ht="15.4" customHeight="1">
      <c r="A4" s="260"/>
      <c r="B4" s="140" t="s">
        <v>56</v>
      </c>
      <c r="C4" s="141" t="s">
        <v>1417</v>
      </c>
    </row>
    <row r="5" spans="1:5" ht="15.4" customHeight="1">
      <c r="A5" s="139"/>
      <c r="B5" s="143" t="s">
        <v>57</v>
      </c>
      <c r="C5" s="144"/>
    </row>
    <row r="6" spans="1:5" ht="15" customHeight="1">
      <c r="A6" s="142"/>
      <c r="B6" s="146"/>
      <c r="C6" s="147"/>
      <c r="D6" s="287"/>
      <c r="E6" s="288"/>
    </row>
    <row r="7" spans="1:5" ht="15" customHeight="1">
      <c r="A7" s="145" t="s">
        <v>1418</v>
      </c>
      <c r="B7" s="149">
        <f>'Fund Distributions'!K27</f>
        <v>1896077.6012499996</v>
      </c>
      <c r="C7" s="147" t="s">
        <v>1420</v>
      </c>
      <c r="D7" s="65"/>
      <c r="E7" s="289"/>
    </row>
    <row r="8" spans="1:5" ht="15" customHeight="1">
      <c r="A8" s="148" t="s">
        <v>1419</v>
      </c>
      <c r="B8" s="149">
        <v>292000</v>
      </c>
      <c r="C8" s="147" t="s">
        <v>1422</v>
      </c>
      <c r="D8" s="87"/>
      <c r="E8" s="290"/>
    </row>
    <row r="9" spans="1:5" ht="15" customHeight="1">
      <c r="A9" s="148" t="s">
        <v>1421</v>
      </c>
      <c r="B9" s="149">
        <v>10800</v>
      </c>
      <c r="C9" s="147" t="s">
        <v>1423</v>
      </c>
      <c r="D9" s="87"/>
      <c r="E9" s="290"/>
    </row>
    <row r="10" spans="1:5" ht="15" customHeight="1">
      <c r="A10" s="148" t="s">
        <v>1776</v>
      </c>
      <c r="B10" s="149">
        <v>5472</v>
      </c>
      <c r="C10" s="147" t="s">
        <v>1777</v>
      </c>
      <c r="D10" s="87"/>
      <c r="E10" s="290"/>
    </row>
    <row r="11" spans="1:5" ht="15" customHeight="1">
      <c r="A11" s="148" t="s">
        <v>1424</v>
      </c>
      <c r="B11" s="149">
        <v>5000</v>
      </c>
      <c r="C11" s="147" t="s">
        <v>1778</v>
      </c>
      <c r="D11" s="87"/>
      <c r="E11" s="290"/>
    </row>
    <row r="12" spans="1:5" ht="15" customHeight="1">
      <c r="A12" s="148" t="s">
        <v>1867</v>
      </c>
      <c r="B12" s="149">
        <v>9600</v>
      </c>
      <c r="C12" s="147" t="s">
        <v>1426</v>
      </c>
      <c r="D12" s="87"/>
      <c r="E12" s="290"/>
    </row>
    <row r="13" spans="1:5" ht="15" customHeight="1">
      <c r="A13" s="148" t="s">
        <v>1425</v>
      </c>
      <c r="B13" s="149">
        <v>5000</v>
      </c>
      <c r="C13" s="147" t="s">
        <v>1779</v>
      </c>
      <c r="D13" s="87"/>
      <c r="E13" s="290"/>
    </row>
    <row r="14" spans="1:5" ht="15" customHeight="1">
      <c r="A14" s="148" t="s">
        <v>1780</v>
      </c>
      <c r="B14" s="150">
        <f>SUM(B7:B13)</f>
        <v>2223949.6012499994</v>
      </c>
      <c r="C14" s="147"/>
      <c r="D14" s="65"/>
      <c r="E14" s="291"/>
    </row>
    <row r="15" spans="1:5" ht="3.75" customHeight="1">
      <c r="A15" s="145" t="s">
        <v>1427</v>
      </c>
      <c r="B15" s="149"/>
      <c r="C15" s="147"/>
      <c r="D15" s="65"/>
    </row>
    <row r="16" spans="1:5" ht="15" customHeight="1">
      <c r="A16" s="151"/>
      <c r="B16" s="149"/>
      <c r="C16" s="147"/>
      <c r="D16" s="65"/>
    </row>
    <row r="17" spans="1:5" ht="15" customHeight="1">
      <c r="A17" s="145" t="s">
        <v>1428</v>
      </c>
      <c r="B17" s="149">
        <v>1702151</v>
      </c>
      <c r="C17" s="147" t="s">
        <v>1429</v>
      </c>
      <c r="D17" s="65"/>
      <c r="E17" s="289"/>
    </row>
    <row r="18" spans="1:5" ht="15" customHeight="1">
      <c r="A18" s="148" t="s">
        <v>1141</v>
      </c>
      <c r="B18" s="149">
        <v>34043</v>
      </c>
      <c r="C18" s="152">
        <v>0.02</v>
      </c>
      <c r="D18" s="65"/>
      <c r="E18" s="289"/>
    </row>
    <row r="19" spans="1:5" ht="15" customHeight="1">
      <c r="A19" s="148" t="s">
        <v>1430</v>
      </c>
      <c r="B19" s="149">
        <v>51064</v>
      </c>
      <c r="C19" s="152">
        <v>0.03</v>
      </c>
      <c r="D19" s="65"/>
      <c r="E19" s="292"/>
    </row>
    <row r="20" spans="1:5" ht="15" customHeight="1">
      <c r="A20" s="148" t="s">
        <v>1431</v>
      </c>
      <c r="B20" s="149">
        <v>25532</v>
      </c>
      <c r="C20" s="293">
        <v>1.4999999999999999E-2</v>
      </c>
      <c r="D20" s="65"/>
      <c r="E20" s="292"/>
    </row>
    <row r="21" spans="1:5" ht="15" customHeight="1">
      <c r="A21" s="148" t="s">
        <v>1432</v>
      </c>
      <c r="B21" s="149">
        <v>18930</v>
      </c>
      <c r="C21" s="147" t="s">
        <v>1434</v>
      </c>
      <c r="D21" s="65"/>
      <c r="E21" s="292"/>
    </row>
    <row r="22" spans="1:5" ht="15" customHeight="1">
      <c r="A22" s="148" t="s">
        <v>1433</v>
      </c>
      <c r="B22" s="149">
        <v>12240</v>
      </c>
      <c r="C22" s="147"/>
      <c r="D22" s="65"/>
      <c r="E22" s="289"/>
    </row>
    <row r="23" spans="1:5" ht="15" customHeight="1">
      <c r="A23" s="148" t="s">
        <v>1435</v>
      </c>
      <c r="B23" s="149">
        <v>6321</v>
      </c>
      <c r="C23" s="147" t="s">
        <v>1781</v>
      </c>
      <c r="D23" s="87"/>
      <c r="E23" s="79"/>
    </row>
    <row r="24" spans="1:5" ht="15" customHeight="1">
      <c r="A24" s="148" t="s">
        <v>1436</v>
      </c>
      <c r="B24" s="149">
        <v>12240</v>
      </c>
      <c r="C24" s="147"/>
      <c r="D24" s="65"/>
      <c r="E24" s="289"/>
    </row>
    <row r="25" spans="1:5" ht="15" customHeight="1">
      <c r="A25" s="148" t="s">
        <v>1437</v>
      </c>
      <c r="B25" s="149">
        <v>40000</v>
      </c>
      <c r="C25" s="147" t="s">
        <v>1438</v>
      </c>
      <c r="D25" s="294"/>
      <c r="E25" s="79"/>
    </row>
    <row r="26" spans="1:5" ht="15" customHeight="1">
      <c r="A26" s="148" t="s">
        <v>1170</v>
      </c>
      <c r="B26" s="149">
        <v>12720</v>
      </c>
      <c r="C26" s="147"/>
      <c r="D26" s="65"/>
      <c r="E26" s="289"/>
    </row>
    <row r="27" spans="1:5" ht="15" customHeight="1">
      <c r="A27" s="148" t="s">
        <v>1439</v>
      </c>
      <c r="B27" s="149">
        <v>2000</v>
      </c>
      <c r="C27" s="147"/>
      <c r="D27" s="294"/>
      <c r="E27" s="79"/>
    </row>
    <row r="28" spans="1:5" ht="15" customHeight="1">
      <c r="A28" s="148" t="s">
        <v>1440</v>
      </c>
      <c r="B28" s="149">
        <v>12000</v>
      </c>
      <c r="C28" s="147" t="s">
        <v>1442</v>
      </c>
      <c r="D28" s="65"/>
      <c r="E28" s="79"/>
    </row>
    <row r="29" spans="1:5" ht="15" customHeight="1">
      <c r="A29" s="148" t="s">
        <v>1441</v>
      </c>
      <c r="B29" s="149">
        <v>20000</v>
      </c>
      <c r="C29" s="147" t="s">
        <v>1444</v>
      </c>
      <c r="D29" s="294"/>
      <c r="E29" s="79"/>
    </row>
    <row r="30" spans="1:5" ht="15" customHeight="1">
      <c r="A30" s="148" t="s">
        <v>1443</v>
      </c>
      <c r="B30" s="149">
        <v>5000</v>
      </c>
      <c r="C30" s="147" t="s">
        <v>1446</v>
      </c>
      <c r="D30" s="294"/>
      <c r="E30" s="79"/>
    </row>
    <row r="31" spans="1:5" ht="15" customHeight="1">
      <c r="A31" s="148" t="s">
        <v>1445</v>
      </c>
      <c r="B31" s="149">
        <v>5000</v>
      </c>
      <c r="C31" s="147"/>
      <c r="D31" s="294"/>
      <c r="E31" s="79"/>
    </row>
    <row r="32" spans="1:5" ht="15" customHeight="1">
      <c r="A32" s="148" t="s">
        <v>1447</v>
      </c>
      <c r="B32" s="149">
        <v>23000</v>
      </c>
      <c r="C32" s="147" t="s">
        <v>1782</v>
      </c>
      <c r="D32" s="294"/>
      <c r="E32" s="79"/>
    </row>
    <row r="33" spans="1:5" ht="15" customHeight="1">
      <c r="A33" s="148" t="s">
        <v>1448</v>
      </c>
      <c r="B33" s="149">
        <v>5000</v>
      </c>
      <c r="C33" s="147" t="s">
        <v>1450</v>
      </c>
      <c r="D33" s="294"/>
      <c r="E33" s="79"/>
    </row>
    <row r="34" spans="1:5" ht="15" customHeight="1">
      <c r="A34" s="148" t="s">
        <v>1449</v>
      </c>
      <c r="B34" s="149">
        <f>2500*12</f>
        <v>30000</v>
      </c>
      <c r="C34" s="147"/>
      <c r="D34" s="294"/>
      <c r="E34" s="79"/>
    </row>
    <row r="35" spans="1:5" ht="15" customHeight="1">
      <c r="A35" s="148" t="s">
        <v>1451</v>
      </c>
      <c r="B35" s="149">
        <v>30000</v>
      </c>
      <c r="C35" s="147" t="s">
        <v>1453</v>
      </c>
      <c r="D35" s="65"/>
      <c r="E35" s="289"/>
    </row>
    <row r="36" spans="1:5" ht="15" customHeight="1">
      <c r="A36" s="147" t="s">
        <v>1452</v>
      </c>
      <c r="B36" s="149">
        <v>8000</v>
      </c>
      <c r="C36" s="147" t="s">
        <v>1783</v>
      </c>
      <c r="D36" s="65"/>
      <c r="E36" s="289"/>
    </row>
    <row r="37" spans="1:5" ht="15" customHeight="1">
      <c r="A37" s="147" t="s">
        <v>1454</v>
      </c>
      <c r="B37" s="149">
        <v>81500</v>
      </c>
      <c r="C37" s="147" t="s">
        <v>1456</v>
      </c>
      <c r="D37" s="65"/>
      <c r="E37" s="289"/>
    </row>
    <row r="38" spans="1:5" ht="15" customHeight="1">
      <c r="A38" s="147" t="s">
        <v>1455</v>
      </c>
      <c r="B38" s="149">
        <v>8538</v>
      </c>
      <c r="C38" s="147" t="s">
        <v>1458</v>
      </c>
      <c r="D38" s="65"/>
      <c r="E38" s="289"/>
    </row>
    <row r="39" spans="1:5" ht="15" customHeight="1">
      <c r="A39" s="147" t="s">
        <v>1457</v>
      </c>
      <c r="B39" s="149">
        <v>13000</v>
      </c>
      <c r="C39" s="147" t="s">
        <v>1458</v>
      </c>
      <c r="D39" s="65"/>
      <c r="E39" s="289"/>
    </row>
    <row r="40" spans="1:5" ht="15" customHeight="1">
      <c r="A40" s="151" t="s">
        <v>1459</v>
      </c>
      <c r="B40" s="149">
        <v>5000</v>
      </c>
      <c r="C40" s="147" t="s">
        <v>1458</v>
      </c>
      <c r="D40" s="65"/>
      <c r="E40" s="289"/>
    </row>
    <row r="41" spans="1:5" ht="15" customHeight="1">
      <c r="A41" s="147" t="s">
        <v>1460</v>
      </c>
      <c r="B41" s="149">
        <v>24000</v>
      </c>
      <c r="C41" s="147" t="s">
        <v>1462</v>
      </c>
      <c r="D41" s="65"/>
      <c r="E41" s="289"/>
    </row>
    <row r="42" spans="1:5" ht="15" customHeight="1">
      <c r="A42" s="148" t="s">
        <v>1461</v>
      </c>
      <c r="B42" s="149">
        <v>24000</v>
      </c>
      <c r="C42" s="147" t="s">
        <v>1464</v>
      </c>
      <c r="D42" s="65"/>
      <c r="E42" s="289"/>
    </row>
    <row r="43" spans="1:5" ht="15" customHeight="1">
      <c r="A43" s="148" t="s">
        <v>1463</v>
      </c>
      <c r="B43" s="149">
        <v>20000</v>
      </c>
      <c r="C43" s="147" t="s">
        <v>1466</v>
      </c>
      <c r="D43" s="65"/>
      <c r="E43" s="289"/>
    </row>
    <row r="44" spans="1:5" ht="15" customHeight="1">
      <c r="A44" s="148" t="s">
        <v>1465</v>
      </c>
      <c r="B44" s="149">
        <v>48600</v>
      </c>
      <c r="C44" s="147"/>
      <c r="D44" s="65"/>
      <c r="E44" s="289"/>
    </row>
    <row r="45" spans="1:5" ht="15" customHeight="1">
      <c r="A45" s="148" t="s">
        <v>1467</v>
      </c>
      <c r="B45" s="149">
        <v>0</v>
      </c>
      <c r="C45" s="147" t="s">
        <v>1469</v>
      </c>
      <c r="D45" s="87"/>
      <c r="E45" s="79"/>
    </row>
    <row r="46" spans="1:5" ht="15" customHeight="1">
      <c r="A46" s="148" t="s">
        <v>1468</v>
      </c>
      <c r="B46" s="150">
        <f>SUM(B17:B45)</f>
        <v>2279879</v>
      </c>
      <c r="C46" s="147"/>
      <c r="D46" s="65"/>
      <c r="E46" s="291"/>
    </row>
    <row r="47" spans="1:5" ht="15" customHeight="1">
      <c r="A47" s="153" t="s">
        <v>1470</v>
      </c>
      <c r="B47" s="149">
        <f>(B14-B46)</f>
        <v>-55929.398750000633</v>
      </c>
      <c r="C47" s="147" t="s">
        <v>1784</v>
      </c>
      <c r="D47" s="295"/>
      <c r="E47" s="291"/>
    </row>
    <row r="48" spans="1:5" ht="15">
      <c r="A48" s="147" t="s">
        <v>1471</v>
      </c>
    </row>
  </sheetData>
  <mergeCells count="1">
    <mergeCell ref="A2:C2"/>
  </mergeCells>
  <pageMargins left="0.7" right="0.7" top="0.75" bottom="0.75" header="0.3" footer="0.3"/>
  <pageSetup scale="97" orientation="portrait" horizontalDpi="4294967293" vertic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zoomScale="150" zoomScaleNormal="150" workbookViewId="0">
      <selection activeCell="C5" sqref="C5"/>
    </sheetView>
  </sheetViews>
  <sheetFormatPr defaultColWidth="8.7109375" defaultRowHeight="12.75"/>
  <cols>
    <col min="1" max="5" width="8.7109375" style="157"/>
    <col min="6" max="6" width="12.28515625" style="157" bestFit="1" customWidth="1"/>
    <col min="7" max="16384" width="8.7109375" style="157"/>
  </cols>
  <sheetData>
    <row r="1" spans="1:11" ht="15">
      <c r="A1" s="302" t="s">
        <v>1868</v>
      </c>
      <c r="I1" s="158"/>
      <c r="J1" s="158"/>
      <c r="K1" s="158"/>
    </row>
    <row r="2" spans="1:11" ht="15">
      <c r="I2" s="158"/>
      <c r="J2" s="158"/>
      <c r="K2" s="158"/>
    </row>
    <row r="3" spans="1:11">
      <c r="A3" s="157" t="s">
        <v>60</v>
      </c>
      <c r="C3" s="159">
        <v>490000</v>
      </c>
      <c r="F3" s="160">
        <f>'Fund Distributions'!E25</f>
        <v>490074</v>
      </c>
    </row>
    <row r="4" spans="1:11">
      <c r="A4" s="157" t="s">
        <v>1479</v>
      </c>
    </row>
    <row r="6" spans="1:11" ht="15">
      <c r="A6" s="158" t="s">
        <v>116</v>
      </c>
    </row>
    <row r="7" spans="1:11">
      <c r="A7" s="157" t="s">
        <v>1480</v>
      </c>
      <c r="B7" s="157" t="s">
        <v>1481</v>
      </c>
    </row>
    <row r="8" spans="1:11">
      <c r="A8" s="157" t="s">
        <v>1480</v>
      </c>
      <c r="B8" s="157" t="s">
        <v>1482</v>
      </c>
      <c r="F8" s="160">
        <v>47999.82</v>
      </c>
    </row>
    <row r="9" spans="1:11">
      <c r="A9" s="157" t="s">
        <v>1480</v>
      </c>
      <c r="B9" s="157" t="s">
        <v>1483</v>
      </c>
      <c r="F9" s="160">
        <v>0</v>
      </c>
    </row>
    <row r="10" spans="1:11">
      <c r="A10" s="157" t="s">
        <v>1480</v>
      </c>
      <c r="B10" s="157" t="s">
        <v>1484</v>
      </c>
      <c r="E10" s="157" t="s">
        <v>1485</v>
      </c>
      <c r="F10" s="160">
        <v>17658.080000000002</v>
      </c>
    </row>
    <row r="11" spans="1:11">
      <c r="A11" s="157" t="s">
        <v>1480</v>
      </c>
      <c r="B11" s="157" t="s">
        <v>1486</v>
      </c>
      <c r="F11" s="160">
        <v>26810.13</v>
      </c>
    </row>
    <row r="12" spans="1:11">
      <c r="A12" s="157" t="s">
        <v>1480</v>
      </c>
      <c r="B12" s="157" t="s">
        <v>1487</v>
      </c>
      <c r="F12" s="160">
        <v>40333.629999999997</v>
      </c>
    </row>
    <row r="13" spans="1:11">
      <c r="A13" s="157" t="s">
        <v>1480</v>
      </c>
      <c r="B13" s="302" t="s">
        <v>1816</v>
      </c>
      <c r="F13" s="160">
        <f>24419.83+26810.13+24764.38</f>
        <v>75994.340000000011</v>
      </c>
    </row>
    <row r="14" spans="1:11">
      <c r="A14" s="157" t="s">
        <v>1480</v>
      </c>
      <c r="B14" s="157" t="s">
        <v>1488</v>
      </c>
      <c r="F14" s="160">
        <v>40333.629999999997</v>
      </c>
    </row>
    <row r="15" spans="1:11">
      <c r="A15" s="157" t="s">
        <v>1489</v>
      </c>
      <c r="F15" s="160">
        <v>9000</v>
      </c>
    </row>
    <row r="16" spans="1:11">
      <c r="A16" s="157" t="s">
        <v>1490</v>
      </c>
      <c r="F16" s="160">
        <v>12000</v>
      </c>
    </row>
    <row r="17" spans="1:6">
      <c r="A17" s="157" t="s">
        <v>1491</v>
      </c>
      <c r="F17" s="160">
        <v>14000</v>
      </c>
    </row>
    <row r="18" spans="1:6">
      <c r="A18" s="157" t="s">
        <v>1492</v>
      </c>
      <c r="F18" s="160">
        <v>8800</v>
      </c>
    </row>
    <row r="19" spans="1:6">
      <c r="A19" s="157" t="s">
        <v>1493</v>
      </c>
      <c r="F19" s="160">
        <v>12000</v>
      </c>
    </row>
    <row r="20" spans="1:6">
      <c r="A20" s="157" t="s">
        <v>1494</v>
      </c>
      <c r="F20" s="160">
        <v>600</v>
      </c>
    </row>
    <row r="21" spans="1:6">
      <c r="A21" s="157" t="s">
        <v>1495</v>
      </c>
      <c r="F21" s="160">
        <v>5900</v>
      </c>
    </row>
    <row r="22" spans="1:6">
      <c r="A22" s="157" t="s">
        <v>1159</v>
      </c>
      <c r="F22" s="160">
        <v>2700</v>
      </c>
    </row>
    <row r="23" spans="1:6">
      <c r="A23" s="157" t="s">
        <v>1496</v>
      </c>
      <c r="F23" s="160">
        <v>5200</v>
      </c>
    </row>
    <row r="24" spans="1:6">
      <c r="A24" s="157" t="s">
        <v>1497</v>
      </c>
      <c r="F24" s="160">
        <v>800</v>
      </c>
    </row>
    <row r="25" spans="1:6">
      <c r="A25" s="157" t="s">
        <v>1498</v>
      </c>
      <c r="F25" s="160">
        <v>8000</v>
      </c>
    </row>
    <row r="26" spans="1:6">
      <c r="A26" s="157" t="s">
        <v>1499</v>
      </c>
      <c r="F26" s="160">
        <v>4200</v>
      </c>
    </row>
    <row r="27" spans="1:6">
      <c r="A27" s="157" t="s">
        <v>1443</v>
      </c>
      <c r="F27" s="160">
        <v>6000</v>
      </c>
    </row>
    <row r="28" spans="1:6">
      <c r="A28" s="157" t="s">
        <v>1467</v>
      </c>
      <c r="F28" s="160">
        <v>15000</v>
      </c>
    </row>
    <row r="29" spans="1:6">
      <c r="A29" s="157" t="s">
        <v>1500</v>
      </c>
      <c r="F29" s="160">
        <v>42074</v>
      </c>
    </row>
    <row r="30" spans="1:6">
      <c r="A30" s="157" t="s">
        <v>1501</v>
      </c>
      <c r="F30" s="160">
        <v>8000</v>
      </c>
    </row>
    <row r="31" spans="1:6">
      <c r="A31" s="157" t="s">
        <v>1502</v>
      </c>
      <c r="F31" s="160">
        <v>500</v>
      </c>
    </row>
    <row r="32" spans="1:6">
      <c r="A32" s="157" t="s">
        <v>1503</v>
      </c>
      <c r="F32" s="160">
        <v>6300</v>
      </c>
    </row>
    <row r="33" spans="1:6">
      <c r="A33" s="157" t="s">
        <v>1504</v>
      </c>
      <c r="F33" s="160">
        <v>1000</v>
      </c>
    </row>
    <row r="34" spans="1:6">
      <c r="A34" s="157" t="s">
        <v>1505</v>
      </c>
      <c r="F34" s="160">
        <v>10000</v>
      </c>
    </row>
    <row r="35" spans="1:6">
      <c r="A35" s="157" t="s">
        <v>1506</v>
      </c>
      <c r="F35" s="160">
        <v>500</v>
      </c>
    </row>
    <row r="36" spans="1:6">
      <c r="A36" s="157" t="s">
        <v>1507</v>
      </c>
      <c r="F36" s="160">
        <v>4500</v>
      </c>
    </row>
    <row r="37" spans="1:6">
      <c r="A37" s="157" t="s">
        <v>1508</v>
      </c>
      <c r="F37" s="160">
        <f>37000+8870.37</f>
        <v>45870.37</v>
      </c>
    </row>
    <row r="38" spans="1:6">
      <c r="A38" s="157" t="s">
        <v>1509</v>
      </c>
      <c r="F38" s="161">
        <f>'Dept 1'!G17</f>
        <v>18000</v>
      </c>
    </row>
    <row r="40" spans="1:6">
      <c r="A40" s="157" t="s">
        <v>1510</v>
      </c>
      <c r="F40" s="160">
        <f>SUM(F8:F39)</f>
        <v>490074</v>
      </c>
    </row>
    <row r="42" spans="1:6">
      <c r="A42" s="157" t="s">
        <v>1511</v>
      </c>
      <c r="F42" s="160">
        <f>F3-F40</f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topLeftCell="A13" zoomScale="96" zoomScaleNormal="96" workbookViewId="0">
      <selection activeCell="A51" sqref="A51"/>
    </sheetView>
  </sheetViews>
  <sheetFormatPr defaultRowHeight="12.75"/>
  <cols>
    <col min="1" max="1" width="25.7109375" bestFit="1" customWidth="1"/>
    <col min="2" max="3" width="10.28515625" bestFit="1" customWidth="1"/>
    <col min="4" max="4" width="9.5703125" bestFit="1" customWidth="1"/>
    <col min="5" max="5" width="8.42578125" bestFit="1" customWidth="1"/>
    <col min="7" max="7" width="12.7109375" bestFit="1" customWidth="1"/>
    <col min="8" max="8" width="10.42578125" bestFit="1" customWidth="1"/>
    <col min="9" max="9" width="60.5703125" bestFit="1" customWidth="1"/>
    <col min="10" max="10" width="11.5703125" bestFit="1" customWidth="1"/>
    <col min="11" max="11" width="10" bestFit="1" customWidth="1"/>
    <col min="12" max="12" width="11.28515625" bestFit="1" customWidth="1"/>
    <col min="13" max="13" width="8.42578125" bestFit="1" customWidth="1"/>
    <col min="14" max="14" width="10.28515625" bestFit="1" customWidth="1"/>
  </cols>
  <sheetData>
    <row r="1" spans="1:15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</row>
    <row r="2" spans="1:15">
      <c r="A2" s="162"/>
      <c r="B2" s="162"/>
      <c r="C2" s="162"/>
      <c r="D2" s="162"/>
      <c r="E2" s="162"/>
      <c r="F2" s="162"/>
      <c r="G2" s="162"/>
      <c r="H2" s="162"/>
      <c r="I2" s="163" t="s">
        <v>39</v>
      </c>
      <c r="J2" s="162"/>
      <c r="K2" s="162"/>
      <c r="L2" s="162"/>
      <c r="M2" s="162"/>
      <c r="N2" s="162"/>
      <c r="O2" s="162"/>
    </row>
    <row r="3" spans="1:15">
      <c r="A3" s="162"/>
      <c r="B3" s="162"/>
      <c r="C3" s="162"/>
      <c r="D3" s="162"/>
      <c r="E3" s="162"/>
      <c r="F3" s="162"/>
      <c r="G3" s="162"/>
      <c r="H3" s="162"/>
      <c r="I3" s="163" t="s">
        <v>1514</v>
      </c>
      <c r="J3" s="162"/>
      <c r="K3" s="162"/>
      <c r="L3" s="162"/>
      <c r="M3" s="162"/>
      <c r="N3" s="162"/>
      <c r="O3" s="162"/>
    </row>
    <row r="4" spans="1:15">
      <c r="A4" s="162"/>
      <c r="B4" s="162"/>
      <c r="C4" s="162"/>
      <c r="D4" s="162"/>
      <c r="E4" s="162"/>
      <c r="F4" s="162"/>
      <c r="G4" s="162"/>
      <c r="H4" s="162"/>
      <c r="I4" s="163" t="s">
        <v>1786</v>
      </c>
      <c r="J4" s="162"/>
      <c r="K4" s="162"/>
      <c r="L4" s="162"/>
      <c r="M4" s="162"/>
      <c r="N4" s="162"/>
      <c r="O4" s="162"/>
    </row>
    <row r="5" spans="1:15">
      <c r="A5" s="162"/>
      <c r="B5" s="162"/>
      <c r="C5" s="162"/>
      <c r="D5" s="162"/>
      <c r="E5" s="162"/>
      <c r="F5" s="162"/>
      <c r="G5" s="162"/>
      <c r="H5" s="162"/>
      <c r="I5" s="163" t="s">
        <v>1515</v>
      </c>
      <c r="J5" s="162"/>
      <c r="K5" s="162"/>
      <c r="L5" s="162"/>
      <c r="M5" s="162"/>
      <c r="N5" s="162"/>
      <c r="O5" s="162"/>
    </row>
    <row r="6" spans="1:15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1:15">
      <c r="A7" s="162"/>
      <c r="B7" s="163" t="s">
        <v>1516</v>
      </c>
      <c r="C7" s="163" t="s">
        <v>1517</v>
      </c>
      <c r="D7" s="163" t="s">
        <v>1518</v>
      </c>
      <c r="E7" s="163" t="s">
        <v>1519</v>
      </c>
      <c r="F7" s="163" t="s">
        <v>1520</v>
      </c>
      <c r="G7" s="163" t="s">
        <v>1521</v>
      </c>
      <c r="H7" s="163" t="s">
        <v>1522</v>
      </c>
      <c r="I7" s="163" t="s">
        <v>1523</v>
      </c>
      <c r="J7" s="163" t="s">
        <v>1524</v>
      </c>
      <c r="K7" s="163" t="s">
        <v>1525</v>
      </c>
      <c r="L7" s="163" t="s">
        <v>1526</v>
      </c>
      <c r="M7" s="163" t="s">
        <v>1527</v>
      </c>
      <c r="N7" s="163" t="s">
        <v>1132</v>
      </c>
      <c r="O7" s="162"/>
    </row>
    <row r="8" spans="1:15">
      <c r="A8" s="164" t="s">
        <v>1528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2"/>
    </row>
    <row r="9" spans="1:15" s="2" customFormat="1">
      <c r="A9" s="340" t="s">
        <v>1869</v>
      </c>
      <c r="B9" s="167">
        <f>[1]FRED!B15</f>
        <v>33445.873333333329</v>
      </c>
      <c r="C9" s="167">
        <f>[1]FRED!C15</f>
        <v>33445.873333333329</v>
      </c>
      <c r="D9" s="167">
        <f>[1]FRED!D15</f>
        <v>33445.873333333329</v>
      </c>
      <c r="E9" s="167">
        <f>[1]FRED!E15</f>
        <v>33445.873333333329</v>
      </c>
      <c r="F9" s="167">
        <f>[1]FRED!F15</f>
        <v>33445.873333333329</v>
      </c>
      <c r="G9" s="167">
        <f>[1]FRED!G15</f>
        <v>33445.873333333329</v>
      </c>
      <c r="H9" s="167">
        <f>[1]FRED!H15</f>
        <v>33445.873333333329</v>
      </c>
      <c r="I9" s="167">
        <f>[1]FRED!I15</f>
        <v>33445.873333333329</v>
      </c>
      <c r="J9" s="167">
        <f>[1]FRED!J15</f>
        <v>33445.873333333329</v>
      </c>
      <c r="K9" s="167">
        <f>[1]FRED!K15</f>
        <v>33445.873333333329</v>
      </c>
      <c r="L9" s="167">
        <f>[1]FRED!L15</f>
        <v>33445.873333333329</v>
      </c>
      <c r="M9" s="167">
        <f>[1]FRED!M15</f>
        <v>33445.873333333329</v>
      </c>
      <c r="N9" s="167">
        <f>SUM(B9:M9)</f>
        <v>401350.48000000004</v>
      </c>
      <c r="O9" s="166"/>
    </row>
    <row r="10" spans="1:15" s="2" customFormat="1">
      <c r="A10" s="166" t="s">
        <v>1529</v>
      </c>
      <c r="B10" s="167">
        <f>'[1]Car Wash-Laundry'!B13</f>
        <v>5500</v>
      </c>
      <c r="C10" s="167">
        <f>'[1]Car Wash-Laundry'!C13</f>
        <v>5500</v>
      </c>
      <c r="D10" s="167">
        <f>'[1]Car Wash-Laundry'!D13</f>
        <v>5500</v>
      </c>
      <c r="E10" s="167">
        <f>'[1]Car Wash-Laundry'!E13</f>
        <v>5500</v>
      </c>
      <c r="F10" s="167">
        <f>'[1]Car Wash-Laundry'!F13</f>
        <v>5500</v>
      </c>
      <c r="G10" s="167">
        <f>'[1]Car Wash-Laundry'!G13</f>
        <v>5500</v>
      </c>
      <c r="H10" s="167">
        <f>'[1]Car Wash-Laundry'!H13</f>
        <v>5500</v>
      </c>
      <c r="I10" s="167">
        <f>'[1]Car Wash-Laundry'!I13</f>
        <v>5500</v>
      </c>
      <c r="J10" s="167">
        <f>'[1]Car Wash-Laundry'!J13</f>
        <v>5500</v>
      </c>
      <c r="K10" s="167">
        <f>'[1]Car Wash-Laundry'!K13</f>
        <v>5500</v>
      </c>
      <c r="L10" s="167">
        <f>'[1]Car Wash-Laundry'!L13</f>
        <v>5500</v>
      </c>
      <c r="M10" s="167">
        <f>'[1]Car Wash-Laundry'!M13</f>
        <v>5500</v>
      </c>
      <c r="N10" s="167">
        <f t="shared" ref="N10:N16" si="0">SUM(B10:M10)</f>
        <v>66000</v>
      </c>
      <c r="O10" s="166"/>
    </row>
    <row r="11" spans="1:15" s="2" customFormat="1">
      <c r="A11" s="340" t="s">
        <v>1875</v>
      </c>
      <c r="B11" s="167">
        <f>'[1]FR Grocery'!B16</f>
        <v>41386.833333333336</v>
      </c>
      <c r="C11" s="167">
        <f>'[1]FR Grocery'!C16</f>
        <v>41386.833333333336</v>
      </c>
      <c r="D11" s="167">
        <f>'[1]FR Grocery'!D16</f>
        <v>41386.833333333336</v>
      </c>
      <c r="E11" s="167">
        <f>'[1]FR Grocery'!E16</f>
        <v>41386.833333333336</v>
      </c>
      <c r="F11" s="167">
        <f>'[1]FR Grocery'!F16</f>
        <v>41386.833333333336</v>
      </c>
      <c r="G11" s="167">
        <f>'[1]FR Grocery'!G16</f>
        <v>41386.833333333336</v>
      </c>
      <c r="H11" s="167">
        <f>'[1]FR Grocery'!H16</f>
        <v>41386.833333333336</v>
      </c>
      <c r="I11" s="167">
        <f>'[1]FR Grocery'!I16</f>
        <v>41387.833333333336</v>
      </c>
      <c r="J11" s="167">
        <f>'[1]FR Grocery'!J16</f>
        <v>41387.833333333336</v>
      </c>
      <c r="K11" s="167">
        <f>'[1]FR Grocery'!K16</f>
        <v>41387.833333333336</v>
      </c>
      <c r="L11" s="167">
        <f>'[1]FR Grocery'!L16</f>
        <v>41387.833333333336</v>
      </c>
      <c r="M11" s="167">
        <f>'[1]FR Grocery'!M16</f>
        <v>41387.833333333336</v>
      </c>
      <c r="N11" s="167">
        <f t="shared" si="0"/>
        <v>496646.99999999994</v>
      </c>
      <c r="O11" s="166"/>
    </row>
    <row r="12" spans="1:15">
      <c r="A12" s="162" t="s">
        <v>1870</v>
      </c>
      <c r="B12" s="162">
        <f>'[1]Bay River Cottage'!B17</f>
        <v>0</v>
      </c>
      <c r="C12" s="162">
        <f>'[1]Bay River Cottage'!C17</f>
        <v>0</v>
      </c>
      <c r="D12" s="162">
        <f>'[1]Bay River Cottage'!D17</f>
        <v>0</v>
      </c>
      <c r="E12" s="162">
        <f>'[1]Bay River Cottage'!E17</f>
        <v>0</v>
      </c>
      <c r="F12" s="162">
        <f>'[1]Bay River Cottage'!F17</f>
        <v>0</v>
      </c>
      <c r="G12" s="162">
        <f>'[1]Bay River Cottage'!G17</f>
        <v>14000</v>
      </c>
      <c r="H12" s="162">
        <f>'[1]Bay River Cottage'!H17</f>
        <v>46000</v>
      </c>
      <c r="I12" s="162">
        <f>'[1]Bay River Cottage'!I17</f>
        <v>14000</v>
      </c>
      <c r="J12" s="162">
        <f>'[1]Bay River Cottage'!J17</f>
        <v>0</v>
      </c>
      <c r="K12" s="162">
        <f>'[1]Bay River Cottage'!K17</f>
        <v>0</v>
      </c>
      <c r="L12" s="162">
        <f>'[1]Bay River Cottage'!L17</f>
        <v>14000</v>
      </c>
      <c r="M12" s="162">
        <f>'[1]Bay River Cottage'!M17</f>
        <v>390000</v>
      </c>
      <c r="N12" s="167">
        <f t="shared" si="0"/>
        <v>478000</v>
      </c>
      <c r="O12" s="162"/>
    </row>
    <row r="13" spans="1:15">
      <c r="A13" s="162" t="s">
        <v>1530</v>
      </c>
      <c r="B13" s="162">
        <f>[1]Motel!B20</f>
        <v>26336</v>
      </c>
      <c r="C13" s="162">
        <f>[1]Motel!C20</f>
        <v>26336</v>
      </c>
      <c r="D13" s="162">
        <f>[1]Motel!D20</f>
        <v>26336</v>
      </c>
      <c r="E13" s="162">
        <f>[1]Motel!E20</f>
        <v>26336</v>
      </c>
      <c r="F13" s="162">
        <f>[1]Motel!F20</f>
        <v>26336</v>
      </c>
      <c r="G13" s="162">
        <f>[1]Motel!G20</f>
        <v>26336</v>
      </c>
      <c r="H13" s="162">
        <f>[1]Motel!H20</f>
        <v>26336</v>
      </c>
      <c r="I13" s="162">
        <f>[1]Motel!I20</f>
        <v>26336</v>
      </c>
      <c r="J13" s="162">
        <f>[1]Motel!J20</f>
        <v>26336</v>
      </c>
      <c r="K13" s="162">
        <f>[1]Motel!K20</f>
        <v>26336</v>
      </c>
      <c r="L13" s="162">
        <f>[1]Motel!L20</f>
        <v>26336</v>
      </c>
      <c r="M13" s="162">
        <f>[1]Motel!M20</f>
        <v>26336</v>
      </c>
      <c r="N13" s="167">
        <f t="shared" si="0"/>
        <v>316032</v>
      </c>
      <c r="O13" s="162"/>
    </row>
    <row r="14" spans="1:15">
      <c r="A14" s="162" t="s">
        <v>1531</v>
      </c>
      <c r="B14" s="162">
        <f>[1]Internet!B13</f>
        <v>2423</v>
      </c>
      <c r="C14" s="162">
        <f>[1]Internet!C13</f>
        <v>2423</v>
      </c>
      <c r="D14" s="162">
        <f>[1]Internet!D13</f>
        <v>2423</v>
      </c>
      <c r="E14" s="162">
        <f>[1]Internet!E13</f>
        <v>2423</v>
      </c>
      <c r="F14" s="162">
        <f>[1]Internet!F13</f>
        <v>2423</v>
      </c>
      <c r="G14" s="162">
        <f>[1]Internet!G13</f>
        <v>2423</v>
      </c>
      <c r="H14" s="162">
        <f>[1]Internet!H13</f>
        <v>2423</v>
      </c>
      <c r="I14" s="162">
        <f>[1]Internet!I13</f>
        <v>2423</v>
      </c>
      <c r="J14" s="162">
        <f>[1]Internet!J13</f>
        <v>2423</v>
      </c>
      <c r="K14" s="162">
        <f>[1]Internet!K13</f>
        <v>2423</v>
      </c>
      <c r="L14" s="162">
        <f>[1]Internet!L13</f>
        <v>2423</v>
      </c>
      <c r="M14" s="162">
        <f>[1]Internet!M13</f>
        <v>2423</v>
      </c>
      <c r="N14" s="167">
        <f t="shared" si="0"/>
        <v>29076</v>
      </c>
      <c r="O14" s="162"/>
    </row>
    <row r="15" spans="1:15">
      <c r="A15" s="162" t="s">
        <v>1871</v>
      </c>
      <c r="B15" s="162">
        <f>[1]Outfitters!B17</f>
        <v>4680</v>
      </c>
      <c r="C15" s="162">
        <f>[1]Outfitters!C17</f>
        <v>4680</v>
      </c>
      <c r="D15" s="162">
        <f>[1]Outfitters!D17</f>
        <v>0</v>
      </c>
      <c r="E15" s="162">
        <f>[1]Outfitters!E17</f>
        <v>0</v>
      </c>
      <c r="F15" s="162">
        <f>[1]Outfitters!F17</f>
        <v>4680</v>
      </c>
      <c r="G15" s="162">
        <f>[1]Outfitters!G17</f>
        <v>10920</v>
      </c>
      <c r="H15" s="162">
        <f>[1]Outfitters!H17</f>
        <v>3120</v>
      </c>
      <c r="I15" s="162">
        <f>[1]Outfitters!I17</f>
        <v>6240</v>
      </c>
      <c r="J15" s="162">
        <f>[1]Outfitters!J17</f>
        <v>0</v>
      </c>
      <c r="K15" s="162">
        <f>[1]Outfitters!K17</f>
        <v>0</v>
      </c>
      <c r="L15" s="162">
        <f>[1]Outfitters!L17</f>
        <v>0</v>
      </c>
      <c r="M15" s="162">
        <f>[1]Outfitters!M17</f>
        <v>0</v>
      </c>
      <c r="N15" s="167">
        <f t="shared" si="0"/>
        <v>34320</v>
      </c>
      <c r="O15" s="162"/>
    </row>
    <row r="16" spans="1:15">
      <c r="A16" s="162" t="s">
        <v>1872</v>
      </c>
      <c r="B16" s="162">
        <f>[1]CASTLE!B20</f>
        <v>120733.21</v>
      </c>
      <c r="C16" s="162">
        <f>[1]CASTLE!C20</f>
        <v>91192.21</v>
      </c>
      <c r="D16" s="162">
        <f>[1]CASTLE!D20</f>
        <v>105306.87240000001</v>
      </c>
      <c r="E16" s="162">
        <f>[1]CASTLE!E20</f>
        <v>189432.8432</v>
      </c>
      <c r="F16" s="162">
        <f>[1]CASTLE!F20</f>
        <v>105533.556</v>
      </c>
      <c r="G16" s="162">
        <f>[1]CASTLE!G20</f>
        <v>105533.84999999999</v>
      </c>
      <c r="H16" s="162">
        <f>[1]CASTLE!H20</f>
        <v>92973.555999999982</v>
      </c>
      <c r="I16" s="162">
        <f>[1]CASTLE!I20</f>
        <v>92973.555999999982</v>
      </c>
      <c r="J16" s="162">
        <f>[1]CASTLE!J20</f>
        <v>57603.05599999999</v>
      </c>
      <c r="K16" s="162">
        <f>[1]CASTLE!K20</f>
        <v>57603.05599999999</v>
      </c>
      <c r="L16" s="162">
        <f>[1]CASTLE!L20</f>
        <v>57603.05599999999</v>
      </c>
      <c r="M16" s="162">
        <f>[1]CASTLE!M20</f>
        <v>57603.05599999999</v>
      </c>
      <c r="N16" s="167">
        <f t="shared" si="0"/>
        <v>1134091.8776</v>
      </c>
      <c r="O16" s="162"/>
    </row>
    <row r="17" spans="1:15">
      <c r="A17" s="162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</row>
    <row r="18" spans="1:15">
      <c r="A18" s="162"/>
      <c r="B18" s="165">
        <f t="shared" ref="B18:N18" si="1">SUM(B8:B17)</f>
        <v>234504.91666666669</v>
      </c>
      <c r="C18" s="165">
        <f t="shared" si="1"/>
        <v>204963.91666666669</v>
      </c>
      <c r="D18" s="165">
        <f t="shared" si="1"/>
        <v>214398.57906666666</v>
      </c>
      <c r="E18" s="165">
        <f t="shared" si="1"/>
        <v>298524.54986666667</v>
      </c>
      <c r="F18" s="165">
        <f t="shared" si="1"/>
        <v>219305.26266666665</v>
      </c>
      <c r="G18" s="165">
        <f t="shared" si="1"/>
        <v>239545.55666666664</v>
      </c>
      <c r="H18" s="165">
        <f t="shared" si="1"/>
        <v>251185.26266666665</v>
      </c>
      <c r="I18" s="165">
        <f t="shared" si="1"/>
        <v>222306.26266666665</v>
      </c>
      <c r="J18" s="165">
        <f t="shared" si="1"/>
        <v>166695.76266666665</v>
      </c>
      <c r="K18" s="165">
        <f t="shared" si="1"/>
        <v>166695.76266666665</v>
      </c>
      <c r="L18" s="165">
        <f t="shared" si="1"/>
        <v>180695.76266666665</v>
      </c>
      <c r="M18" s="165">
        <f t="shared" si="1"/>
        <v>556695.76266666665</v>
      </c>
      <c r="N18" s="165">
        <f t="shared" si="1"/>
        <v>2955517.3575999998</v>
      </c>
      <c r="O18" s="162"/>
    </row>
    <row r="19" spans="1:15">
      <c r="A19" s="164" t="s">
        <v>1532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2"/>
    </row>
    <row r="20" spans="1:15">
      <c r="A20" s="340" t="s">
        <v>1869</v>
      </c>
      <c r="B20" s="162">
        <f>[1]FRED!B60</f>
        <v>35919.418461538458</v>
      </c>
      <c r="C20" s="162">
        <f>[1]FRED!C60</f>
        <v>34815.418461538458</v>
      </c>
      <c r="D20" s="162">
        <f>[1]FRED!D60</f>
        <v>33015.418461538458</v>
      </c>
      <c r="E20" s="162">
        <f>[1]FRED!E60</f>
        <v>40216.027692307689</v>
      </c>
      <c r="F20" s="162">
        <f>[1]FRED!F60</f>
        <v>33015.418461538458</v>
      </c>
      <c r="G20" s="162">
        <f>[1]FRED!G60</f>
        <v>33015.418461538458</v>
      </c>
      <c r="H20" s="162">
        <f>[1]FRED!H60</f>
        <v>34815.418461538458</v>
      </c>
      <c r="I20" s="162">
        <f>[1]FRED!I60</f>
        <v>33015.418461538458</v>
      </c>
      <c r="J20" s="162">
        <f>[1]FRED!J60</f>
        <v>40216.027692307689</v>
      </c>
      <c r="K20" s="162">
        <f>[1]FRED!K60</f>
        <v>33015.418461538458</v>
      </c>
      <c r="L20" s="162">
        <f>[1]FRED!L60</f>
        <v>33015.418461538458</v>
      </c>
      <c r="M20" s="162">
        <f>[1]FRED!M60</f>
        <v>49807.418461538458</v>
      </c>
      <c r="N20" s="162">
        <f>SUM(B20:M20)</f>
        <v>433882.23999999982</v>
      </c>
      <c r="O20" s="162"/>
    </row>
    <row r="21" spans="1:15">
      <c r="A21" s="166" t="s">
        <v>1529</v>
      </c>
      <c r="B21" s="162">
        <f>'[1]Car Wash-Laundry'!B43</f>
        <v>14262.23</v>
      </c>
      <c r="C21" s="162">
        <f>'[1]Car Wash-Laundry'!C43</f>
        <v>10812.23</v>
      </c>
      <c r="D21" s="162">
        <f>'[1]Car Wash-Laundry'!D43</f>
        <v>11212.23</v>
      </c>
      <c r="E21" s="162">
        <f>'[1]Car Wash-Laundry'!E43</f>
        <v>13504.31</v>
      </c>
      <c r="F21" s="162">
        <f>'[1]Car Wash-Laundry'!F43</f>
        <v>11712.23</v>
      </c>
      <c r="G21" s="162">
        <f>'[1]Car Wash-Laundry'!G43</f>
        <v>10812.23</v>
      </c>
      <c r="H21" s="162">
        <f>'[1]Car Wash-Laundry'!H43</f>
        <v>11262.23</v>
      </c>
      <c r="I21" s="162">
        <f>'[1]Car Wash-Laundry'!I43</f>
        <v>11132.23</v>
      </c>
      <c r="J21" s="162">
        <f>'[1]Car Wash-Laundry'!J43</f>
        <v>14174.31</v>
      </c>
      <c r="K21" s="162">
        <f>'[1]Car Wash-Laundry'!K43</f>
        <v>11182.23</v>
      </c>
      <c r="L21" s="162">
        <f>'[1]Car Wash-Laundry'!L43</f>
        <v>11532.23</v>
      </c>
      <c r="M21" s="162">
        <f>'[1]Car Wash-Laundry'!M43</f>
        <v>11132.23</v>
      </c>
      <c r="N21" s="162">
        <f t="shared" ref="N21:N27" si="2">SUM(B21:M21)</f>
        <v>142730.91999999998</v>
      </c>
      <c r="O21" s="162"/>
    </row>
    <row r="22" spans="1:15">
      <c r="A22" s="162" t="s">
        <v>1875</v>
      </c>
      <c r="B22" s="162">
        <f>'[1]FR Grocery'!B40</f>
        <v>44196.083333333336</v>
      </c>
      <c r="C22" s="162">
        <f>'[1]FR Grocery'!C40</f>
        <v>40040.083333333328</v>
      </c>
      <c r="D22" s="162">
        <f>'[1]FR Grocery'!D40</f>
        <v>40040.083333333328</v>
      </c>
      <c r="E22" s="162">
        <f>'[1]FR Grocery'!E40</f>
        <v>35791.416666666664</v>
      </c>
      <c r="F22" s="162">
        <f>'[1]FR Grocery'!F40</f>
        <v>35791.416666666664</v>
      </c>
      <c r="G22" s="162">
        <f>'[1]FR Grocery'!G40</f>
        <v>35791.416666666664</v>
      </c>
      <c r="H22" s="162">
        <f>'[1]FR Grocery'!H40</f>
        <v>35791.416666666664</v>
      </c>
      <c r="I22" s="162">
        <f>'[1]FR Grocery'!I40</f>
        <v>35791.416666666664</v>
      </c>
      <c r="J22" s="162">
        <f>'[1]FR Grocery'!J40</f>
        <v>35791.416666666664</v>
      </c>
      <c r="K22" s="162">
        <f>'[1]FR Grocery'!K40</f>
        <v>35791.416666666664</v>
      </c>
      <c r="L22" s="162">
        <f>'[1]FR Grocery'!L40</f>
        <v>35791.416666666664</v>
      </c>
      <c r="M22" s="162">
        <f>'[1]FR Grocery'!M40</f>
        <v>35791.416666666664</v>
      </c>
      <c r="N22" s="162">
        <f>SUM(B22:M22)</f>
        <v>446399.00000000006</v>
      </c>
      <c r="O22" s="162"/>
    </row>
    <row r="23" spans="1:15">
      <c r="A23" s="162" t="s">
        <v>1874</v>
      </c>
      <c r="B23" s="162">
        <f>'[1]Bay River Cottage'!B34</f>
        <v>3715.7743999999998</v>
      </c>
      <c r="C23" s="162">
        <f>'[1]Bay River Cottage'!C34</f>
        <v>3515.7743999999998</v>
      </c>
      <c r="D23" s="162">
        <f>'[1]Bay River Cottage'!D34</f>
        <v>3515.7743999999998</v>
      </c>
      <c r="E23" s="162">
        <f>'[1]Bay River Cottage'!E34</f>
        <v>92577.161600000007</v>
      </c>
      <c r="F23" s="162">
        <f>'[1]Bay River Cottage'!F34</f>
        <v>91761.774399999995</v>
      </c>
      <c r="G23" s="162">
        <f>'[1]Bay River Cottage'!G34</f>
        <v>94241.774399999995</v>
      </c>
      <c r="H23" s="162">
        <f>'[1]Bay River Cottage'!H34</f>
        <v>10526.7744</v>
      </c>
      <c r="I23" s="162">
        <f>'[1]Bay River Cottage'!I34</f>
        <v>5586.7744000000002</v>
      </c>
      <c r="J23" s="162">
        <f>'[1]Bay River Cottage'!J34</f>
        <v>6222.1616000000004</v>
      </c>
      <c r="K23" s="162">
        <f>'[1]Bay River Cottage'!K34</f>
        <v>6306.7744000000002</v>
      </c>
      <c r="L23" s="162">
        <f>'[1]Bay River Cottage'!L34</f>
        <v>6106.7744000000002</v>
      </c>
      <c r="M23" s="162">
        <f>'[1]Bay River Cottage'!M34</f>
        <v>5606.7744000000002</v>
      </c>
      <c r="N23" s="162">
        <f t="shared" si="2"/>
        <v>329684.06719999993</v>
      </c>
      <c r="O23" s="162"/>
    </row>
    <row r="24" spans="1:15">
      <c r="A24" s="162" t="s">
        <v>1530</v>
      </c>
      <c r="B24" s="162">
        <f>[1]Motel!B50</f>
        <v>29248.84</v>
      </c>
      <c r="C24" s="162">
        <f>[1]Motel!C50</f>
        <v>28948.84</v>
      </c>
      <c r="D24" s="162">
        <f>[1]Motel!D50</f>
        <v>28948.84</v>
      </c>
      <c r="E24" s="162">
        <f>[1]Motel!E50</f>
        <v>34007.35</v>
      </c>
      <c r="F24" s="162">
        <f>[1]Motel!F50</f>
        <v>43707.35</v>
      </c>
      <c r="G24" s="162">
        <f>[1]Motel!G50</f>
        <v>33707.35</v>
      </c>
      <c r="H24" s="162">
        <f>[1]Motel!H50</f>
        <v>34007.35</v>
      </c>
      <c r="I24" s="162">
        <f>[1]Motel!I50</f>
        <v>33707.35</v>
      </c>
      <c r="J24" s="162">
        <f>[1]Motel!J50</f>
        <v>33707.35</v>
      </c>
      <c r="K24" s="162">
        <f>[1]Motel!K50</f>
        <v>34007.35</v>
      </c>
      <c r="L24" s="162">
        <f>[1]Motel!L50</f>
        <v>33707.35</v>
      </c>
      <c r="M24" s="162">
        <f>[1]Motel!M50</f>
        <v>33707.35</v>
      </c>
      <c r="N24" s="162">
        <f t="shared" si="2"/>
        <v>401412.66999999993</v>
      </c>
      <c r="O24" s="162"/>
    </row>
    <row r="25" spans="1:15">
      <c r="A25" s="162" t="s">
        <v>1531</v>
      </c>
      <c r="B25" s="162">
        <f>[1]Internet!B25</f>
        <v>3100</v>
      </c>
      <c r="C25" s="162">
        <f>[1]Internet!C25</f>
        <v>2700</v>
      </c>
      <c r="D25" s="162">
        <f>[1]Internet!D25</f>
        <v>2700</v>
      </c>
      <c r="E25" s="162">
        <f>[1]Internet!E25</f>
        <v>3100</v>
      </c>
      <c r="F25" s="162">
        <f>[1]Internet!F25</f>
        <v>2700</v>
      </c>
      <c r="G25" s="162">
        <f>[1]Internet!G25</f>
        <v>2700</v>
      </c>
      <c r="H25" s="162">
        <f>[1]Internet!H25</f>
        <v>3100</v>
      </c>
      <c r="I25" s="162">
        <f>[1]Internet!I25</f>
        <v>2700</v>
      </c>
      <c r="J25" s="162">
        <f>[1]Internet!J25</f>
        <v>2700</v>
      </c>
      <c r="K25" s="162">
        <f>[1]Internet!K25</f>
        <v>3100</v>
      </c>
      <c r="L25" s="162">
        <f>[1]Internet!L25</f>
        <v>2700</v>
      </c>
      <c r="M25" s="162">
        <f>[1]Internet!M25</f>
        <v>2700</v>
      </c>
      <c r="N25" s="162">
        <f t="shared" si="2"/>
        <v>34000</v>
      </c>
      <c r="O25" s="162"/>
    </row>
    <row r="26" spans="1:15">
      <c r="A26" s="162" t="s">
        <v>1873</v>
      </c>
      <c r="B26" s="162">
        <f>[1]Outfitters!B59</f>
        <v>11820</v>
      </c>
      <c r="C26" s="162">
        <f>[1]Outfitters!C59</f>
        <v>3120</v>
      </c>
      <c r="D26" s="162">
        <f>[1]Outfitters!D59</f>
        <v>0</v>
      </c>
      <c r="E26" s="162">
        <f>[1]Outfitters!E59</f>
        <v>0</v>
      </c>
      <c r="F26" s="162">
        <f>[1]Outfitters!F59</f>
        <v>3120</v>
      </c>
      <c r="G26" s="162">
        <f>[1]Outfitters!G59</f>
        <v>7280</v>
      </c>
      <c r="H26" s="162">
        <f>[1]Outfitters!H59</f>
        <v>2080</v>
      </c>
      <c r="I26" s="162">
        <f>[1]Outfitters!I59</f>
        <v>4160</v>
      </c>
      <c r="J26" s="162">
        <f>[1]Outfitters!J59</f>
        <v>0</v>
      </c>
      <c r="K26" s="162">
        <f>[1]Outfitters!K59</f>
        <v>0</v>
      </c>
      <c r="L26" s="162">
        <f>[1]Outfitters!L59</f>
        <v>0</v>
      </c>
      <c r="M26" s="162">
        <f>[1]Outfitters!M59</f>
        <v>0</v>
      </c>
      <c r="N26" s="162">
        <f t="shared" si="2"/>
        <v>31580</v>
      </c>
      <c r="O26" s="162"/>
    </row>
    <row r="27" spans="1:15">
      <c r="A27" s="162" t="s">
        <v>1872</v>
      </c>
      <c r="B27" s="162">
        <f>[1]CASTLE!B40</f>
        <v>44942.629333333338</v>
      </c>
      <c r="C27" s="162">
        <f>[1]CASTLE!C40</f>
        <v>45032.92333333334</v>
      </c>
      <c r="D27" s="162">
        <f>[1]CASTLE!D40</f>
        <v>45302.629153333335</v>
      </c>
      <c r="E27" s="162">
        <f>[1]CASTLE!E40</f>
        <v>45861.475333333343</v>
      </c>
      <c r="F27" s="162">
        <f>[1]CASTLE!F40</f>
        <v>45306.965593333334</v>
      </c>
      <c r="G27" s="162">
        <f>[1]CASTLE!G40</f>
        <v>45306.965593333334</v>
      </c>
      <c r="H27" s="162">
        <f>[1]CASTLE!H40</f>
        <v>45066.965593333334</v>
      </c>
      <c r="I27" s="162">
        <f>[1]CASTLE!I40</f>
        <v>45066.965593333334</v>
      </c>
      <c r="J27" s="162">
        <f>[1]CASTLE!J40</f>
        <v>45066.965593333334</v>
      </c>
      <c r="K27" s="162">
        <f>[1]CASTLE!K40</f>
        <v>45066.965593333334</v>
      </c>
      <c r="L27" s="162">
        <f>[1]CASTLE!L40</f>
        <v>45066.965593333334</v>
      </c>
      <c r="M27" s="162">
        <f>[1]CASTLE!M40</f>
        <v>53566.965593333334</v>
      </c>
      <c r="N27" s="162">
        <f t="shared" si="2"/>
        <v>550655.38190000015</v>
      </c>
      <c r="O27" s="162"/>
    </row>
    <row r="28" spans="1:15">
      <c r="A28" s="162"/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</row>
    <row r="29" spans="1:15">
      <c r="A29" s="162"/>
      <c r="B29" s="165">
        <f t="shared" ref="B29:N29" si="3">SUM(B19:B28)</f>
        <v>187204.97552820513</v>
      </c>
      <c r="C29" s="165">
        <f t="shared" si="3"/>
        <v>168985.2695282051</v>
      </c>
      <c r="D29" s="165">
        <f t="shared" si="3"/>
        <v>164734.9753482051</v>
      </c>
      <c r="E29" s="165">
        <f t="shared" si="3"/>
        <v>265057.74129230768</v>
      </c>
      <c r="F29" s="165">
        <f t="shared" si="3"/>
        <v>267115.15512153844</v>
      </c>
      <c r="G29" s="165">
        <f t="shared" si="3"/>
        <v>262855.15512153844</v>
      </c>
      <c r="H29" s="165">
        <f t="shared" si="3"/>
        <v>176650.15512153844</v>
      </c>
      <c r="I29" s="165">
        <f t="shared" si="3"/>
        <v>171160.15512153844</v>
      </c>
      <c r="J29" s="165">
        <f t="shared" si="3"/>
        <v>177878.23155230767</v>
      </c>
      <c r="K29" s="165">
        <f t="shared" si="3"/>
        <v>168470.15512153844</v>
      </c>
      <c r="L29" s="165">
        <f t="shared" si="3"/>
        <v>167920.15512153844</v>
      </c>
      <c r="M29" s="165">
        <f t="shared" si="3"/>
        <v>192312.15512153844</v>
      </c>
      <c r="N29" s="165">
        <f t="shared" si="3"/>
        <v>2370344.2790999999</v>
      </c>
      <c r="O29" s="162"/>
    </row>
    <row r="30" spans="1:15">
      <c r="A30" s="162"/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2"/>
    </row>
    <row r="31" spans="1:15" ht="13.5" thickBot="1">
      <c r="A31" s="164" t="s">
        <v>1533</v>
      </c>
      <c r="B31" s="162">
        <f t="shared" ref="B31:N31" si="4">+B18-B29</f>
        <v>47299.941138461552</v>
      </c>
      <c r="C31" s="162">
        <f t="shared" si="4"/>
        <v>35978.647138461587</v>
      </c>
      <c r="D31" s="162">
        <f t="shared" si="4"/>
        <v>49663.603718461556</v>
      </c>
      <c r="E31" s="162">
        <f t="shared" si="4"/>
        <v>33466.808574358991</v>
      </c>
      <c r="F31" s="162">
        <f t="shared" si="4"/>
        <v>-47809.892454871791</v>
      </c>
      <c r="G31" s="162">
        <f t="shared" si="4"/>
        <v>-23309.598454871797</v>
      </c>
      <c r="H31" s="162">
        <f t="shared" si="4"/>
        <v>74535.107545128209</v>
      </c>
      <c r="I31" s="162">
        <f t="shared" si="4"/>
        <v>51146.107545128209</v>
      </c>
      <c r="J31" s="162">
        <f t="shared" si="4"/>
        <v>-11182.468885641021</v>
      </c>
      <c r="K31" s="162">
        <f t="shared" si="4"/>
        <v>-1774.3924548717914</v>
      </c>
      <c r="L31" s="162">
        <f t="shared" si="4"/>
        <v>12775.607545128209</v>
      </c>
      <c r="M31" s="162">
        <f t="shared" si="4"/>
        <v>364383.60754512821</v>
      </c>
      <c r="N31" s="162">
        <f t="shared" si="4"/>
        <v>585173.07849999983</v>
      </c>
      <c r="O31" s="162"/>
    </row>
    <row r="32" spans="1:15" ht="13.5" thickTop="1">
      <c r="A32" s="162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2"/>
    </row>
    <row r="33" spans="1:15">
      <c r="A33" s="164" t="s">
        <v>1534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</row>
    <row r="34" spans="1:15" ht="13.5" thickBot="1">
      <c r="A34" s="162" t="s">
        <v>1535</v>
      </c>
      <c r="B34" s="162">
        <f>+B31</f>
        <v>47299.941138461552</v>
      </c>
      <c r="C34" s="162">
        <f>+B34+C31</f>
        <v>83278.588276923139</v>
      </c>
      <c r="D34" s="162">
        <f t="shared" ref="D34:M34" si="5">+C34+D31</f>
        <v>132942.1919953847</v>
      </c>
      <c r="E34" s="162">
        <f t="shared" si="5"/>
        <v>166409.00056974369</v>
      </c>
      <c r="F34" s="162">
        <f t="shared" si="5"/>
        <v>118599.10811487189</v>
      </c>
      <c r="G34" s="162">
        <f t="shared" si="5"/>
        <v>95289.509660000098</v>
      </c>
      <c r="H34" s="162">
        <f t="shared" si="5"/>
        <v>169824.61720512831</v>
      </c>
      <c r="I34" s="162">
        <f t="shared" si="5"/>
        <v>220970.72475025652</v>
      </c>
      <c r="J34" s="162">
        <f t="shared" si="5"/>
        <v>209788.25586461549</v>
      </c>
      <c r="K34" s="162">
        <f t="shared" si="5"/>
        <v>208013.8634097437</v>
      </c>
      <c r="L34" s="162">
        <f t="shared" si="5"/>
        <v>220789.47095487191</v>
      </c>
      <c r="M34" s="162">
        <f t="shared" si="5"/>
        <v>585173.07850000006</v>
      </c>
      <c r="N34" s="162"/>
      <c r="O34" s="162"/>
    </row>
    <row r="35" spans="1:15" ht="13.5" thickTop="1">
      <c r="A35" s="162"/>
      <c r="B35" s="168"/>
      <c r="C35" s="168"/>
      <c r="D35" s="168"/>
      <c r="E35" s="168"/>
      <c r="F35" s="168"/>
      <c r="G35" s="168"/>
      <c r="H35" s="168"/>
      <c r="I35" s="169"/>
      <c r="J35" s="169"/>
      <c r="K35" s="169"/>
      <c r="L35" s="169"/>
      <c r="M35" s="169"/>
      <c r="O35" s="162"/>
    </row>
    <row r="36" spans="1:15">
      <c r="A36" s="162"/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</row>
    <row r="37" spans="1:15" ht="13.5" thickBot="1">
      <c r="A37" s="162"/>
      <c r="B37" s="162"/>
      <c r="C37" s="162"/>
      <c r="D37" s="162"/>
      <c r="E37" s="162"/>
      <c r="F37" s="162"/>
      <c r="G37" s="162"/>
      <c r="H37" s="162"/>
      <c r="I37" s="166" t="s">
        <v>1787</v>
      </c>
      <c r="J37" s="162"/>
      <c r="K37" s="162"/>
      <c r="L37" s="162"/>
      <c r="M37" s="162"/>
      <c r="N37" s="170">
        <f>N31</f>
        <v>585173.07849999983</v>
      </c>
      <c r="O37" s="162"/>
    </row>
    <row r="38" spans="1:15" ht="13.5" thickTop="1">
      <c r="A38" s="162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</row>
    <row r="39" spans="1:15">
      <c r="A39" s="162"/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</row>
    <row r="42" spans="1:15">
      <c r="B42" s="296" t="s">
        <v>1788</v>
      </c>
      <c r="C42" s="296" t="s">
        <v>1789</v>
      </c>
      <c r="D42" s="296" t="s">
        <v>59</v>
      </c>
    </row>
    <row r="43" spans="1:15">
      <c r="A43" s="340" t="s">
        <v>1869</v>
      </c>
      <c r="B43" s="297">
        <f t="shared" ref="B43:B50" si="6">N9</f>
        <v>401350.48000000004</v>
      </c>
      <c r="C43" s="297">
        <f t="shared" ref="C43:C50" si="7">N20</f>
        <v>433882.23999999982</v>
      </c>
      <c r="D43" s="297">
        <f>+B43-C43</f>
        <v>-32531.759999999776</v>
      </c>
    </row>
    <row r="44" spans="1:15">
      <c r="A44" s="166" t="s">
        <v>1529</v>
      </c>
      <c r="B44" s="297">
        <f t="shared" si="6"/>
        <v>66000</v>
      </c>
      <c r="C44" s="297">
        <f t="shared" si="7"/>
        <v>142730.91999999998</v>
      </c>
      <c r="D44" s="297">
        <f t="shared" ref="D44:D52" si="8">+B44-C44</f>
        <v>-76730.919999999984</v>
      </c>
    </row>
    <row r="45" spans="1:15">
      <c r="A45" s="340" t="s">
        <v>1876</v>
      </c>
      <c r="B45" s="297">
        <f t="shared" si="6"/>
        <v>496646.99999999994</v>
      </c>
      <c r="C45" s="297">
        <f t="shared" si="7"/>
        <v>446399.00000000006</v>
      </c>
      <c r="D45" s="297">
        <f t="shared" si="8"/>
        <v>50247.999999999884</v>
      </c>
    </row>
    <row r="46" spans="1:15">
      <c r="A46" s="162" t="s">
        <v>1874</v>
      </c>
      <c r="B46" s="297">
        <f t="shared" si="6"/>
        <v>478000</v>
      </c>
      <c r="C46" s="297">
        <f t="shared" si="7"/>
        <v>329684.06719999993</v>
      </c>
      <c r="D46" s="297">
        <f t="shared" si="8"/>
        <v>148315.93280000007</v>
      </c>
    </row>
    <row r="47" spans="1:15">
      <c r="A47" s="162" t="s">
        <v>1530</v>
      </c>
      <c r="B47" s="297">
        <f t="shared" si="6"/>
        <v>316032</v>
      </c>
      <c r="C47" s="297">
        <f t="shared" si="7"/>
        <v>401412.66999999993</v>
      </c>
      <c r="D47" s="297">
        <f t="shared" si="8"/>
        <v>-85380.669999999925</v>
      </c>
    </row>
    <row r="48" spans="1:15">
      <c r="A48" s="162" t="s">
        <v>1531</v>
      </c>
      <c r="B48" s="297">
        <f t="shared" si="6"/>
        <v>29076</v>
      </c>
      <c r="C48" s="297">
        <f t="shared" si="7"/>
        <v>34000</v>
      </c>
      <c r="D48" s="297">
        <f t="shared" si="8"/>
        <v>-4924</v>
      </c>
    </row>
    <row r="49" spans="1:4">
      <c r="A49" s="162" t="s">
        <v>1873</v>
      </c>
      <c r="B49" s="297">
        <f t="shared" si="6"/>
        <v>34320</v>
      </c>
      <c r="C49" s="297">
        <f t="shared" si="7"/>
        <v>31580</v>
      </c>
      <c r="D49" s="297">
        <f t="shared" si="8"/>
        <v>2740</v>
      </c>
    </row>
    <row r="50" spans="1:4">
      <c r="A50" s="162" t="s">
        <v>1872</v>
      </c>
      <c r="B50" s="297">
        <f t="shared" si="6"/>
        <v>1134091.8776</v>
      </c>
      <c r="C50" s="297">
        <f t="shared" si="7"/>
        <v>550655.38190000015</v>
      </c>
      <c r="D50" s="297">
        <f t="shared" si="8"/>
        <v>583436.49569999985</v>
      </c>
    </row>
    <row r="51" spans="1:4">
      <c r="B51" s="298"/>
      <c r="C51" s="298"/>
      <c r="D51" s="298"/>
    </row>
    <row r="52" spans="1:4" ht="13.5" thickBot="1">
      <c r="A52" s="162" t="s">
        <v>1533</v>
      </c>
      <c r="B52" s="299">
        <f>SUM(B43:B51)</f>
        <v>2955517.3575999998</v>
      </c>
      <c r="C52" s="299">
        <f>SUM(C43:C51)</f>
        <v>2370344.2790999999</v>
      </c>
      <c r="D52" s="299">
        <f t="shared" si="8"/>
        <v>585173.07849999983</v>
      </c>
    </row>
    <row r="53" spans="1:4" ht="13.5" thickTop="1"/>
  </sheetData>
  <pageMargins left="0.7" right="0.7" top="0.75" bottom="0.75" header="0.3" footer="0.3"/>
  <pageSetup scale="76" orientation="landscape" horizontalDpi="4294967293" vertic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93"/>
  <sheetViews>
    <sheetView workbookViewId="0">
      <selection activeCell="C94" sqref="C94"/>
    </sheetView>
  </sheetViews>
  <sheetFormatPr defaultColWidth="8.7109375" defaultRowHeight="12.75"/>
  <cols>
    <col min="1" max="1" width="43.28515625" style="172" customWidth="1"/>
    <col min="2" max="2" width="5.5703125" style="177" customWidth="1"/>
    <col min="3" max="3" width="12.7109375" style="172" customWidth="1"/>
    <col min="4" max="4" width="22.42578125" style="172" customWidth="1"/>
    <col min="5" max="5" width="13" style="172" customWidth="1"/>
    <col min="6" max="6" width="10" style="172" bestFit="1" customWidth="1"/>
    <col min="7" max="16384" width="8.7109375" style="172"/>
  </cols>
  <sheetData>
    <row r="2" spans="1:4" ht="15">
      <c r="A2" s="173" t="s">
        <v>1537</v>
      </c>
      <c r="B2" s="174"/>
      <c r="C2" s="175"/>
      <c r="D2" s="175"/>
    </row>
    <row r="3" spans="1:4" ht="15">
      <c r="A3" s="176" t="s">
        <v>1266</v>
      </c>
      <c r="C3" s="266" t="s">
        <v>1722</v>
      </c>
      <c r="D3" s="179" t="s">
        <v>1538</v>
      </c>
    </row>
    <row r="4" spans="1:4" ht="15">
      <c r="C4" s="179"/>
      <c r="D4" s="179"/>
    </row>
    <row r="5" spans="1:4">
      <c r="A5" s="180" t="s">
        <v>1113</v>
      </c>
      <c r="B5" s="181"/>
      <c r="C5" s="180">
        <v>474759</v>
      </c>
      <c r="D5" s="180" t="s">
        <v>1539</v>
      </c>
    </row>
    <row r="6" spans="1:4">
      <c r="A6" s="180" t="s">
        <v>1424</v>
      </c>
      <c r="B6" s="181"/>
      <c r="C6" s="180">
        <v>586425</v>
      </c>
      <c r="D6" s="180" t="s">
        <v>1540</v>
      </c>
    </row>
    <row r="7" spans="1:4">
      <c r="A7" s="180" t="s">
        <v>1446</v>
      </c>
      <c r="B7" s="181"/>
      <c r="C7" s="180">
        <v>225168</v>
      </c>
      <c r="D7" s="347" t="s">
        <v>1541</v>
      </c>
    </row>
    <row r="8" spans="1:4">
      <c r="A8" s="180" t="s">
        <v>1542</v>
      </c>
      <c r="B8" s="181"/>
      <c r="C8" s="180">
        <v>83362</v>
      </c>
      <c r="D8" s="347"/>
    </row>
    <row r="9" spans="1:4">
      <c r="A9" s="180" t="s">
        <v>1543</v>
      </c>
      <c r="B9" s="181"/>
      <c r="C9" s="180">
        <f>85295+25011</f>
        <v>110306</v>
      </c>
      <c r="D9" s="182" t="s">
        <v>1544</v>
      </c>
    </row>
    <row r="10" spans="1:4">
      <c r="A10" s="180" t="s">
        <v>1545</v>
      </c>
      <c r="B10" s="181"/>
      <c r="C10" s="180">
        <v>58216</v>
      </c>
      <c r="D10" s="347" t="s">
        <v>1546</v>
      </c>
    </row>
    <row r="11" spans="1:4">
      <c r="A11" s="180" t="s">
        <v>1547</v>
      </c>
      <c r="B11" s="181"/>
      <c r="C11" s="180">
        <v>66430</v>
      </c>
      <c r="D11" s="347"/>
    </row>
    <row r="12" spans="1:4" ht="15">
      <c r="A12" s="180" t="s">
        <v>1548</v>
      </c>
      <c r="B12" s="181"/>
      <c r="C12" s="183">
        <v>391008</v>
      </c>
      <c r="D12" s="180" t="s">
        <v>1549</v>
      </c>
    </row>
    <row r="13" spans="1:4">
      <c r="A13" s="180" t="s">
        <v>1550</v>
      </c>
      <c r="B13" s="181"/>
      <c r="C13" s="180">
        <v>172500</v>
      </c>
      <c r="D13" s="180" t="s">
        <v>1551</v>
      </c>
    </row>
    <row r="14" spans="1:4" ht="15">
      <c r="A14" s="180" t="s">
        <v>1552</v>
      </c>
      <c r="B14" s="181"/>
      <c r="C14" s="183">
        <v>44366</v>
      </c>
      <c r="D14" s="180" t="s">
        <v>1553</v>
      </c>
    </row>
    <row r="15" spans="1:4" ht="15">
      <c r="A15" s="180" t="s">
        <v>1554</v>
      </c>
      <c r="B15" s="181"/>
      <c r="C15" s="183">
        <v>36640</v>
      </c>
      <c r="D15" s="180" t="s">
        <v>1555</v>
      </c>
    </row>
    <row r="16" spans="1:4" ht="15">
      <c r="A16" s="180" t="s">
        <v>1556</v>
      </c>
      <c r="B16" s="181"/>
      <c r="C16" s="183">
        <v>79705</v>
      </c>
      <c r="D16" s="347" t="s">
        <v>1557</v>
      </c>
    </row>
    <row r="17" spans="1:4">
      <c r="A17" s="180" t="s">
        <v>1558</v>
      </c>
      <c r="B17" s="181"/>
      <c r="C17" s="180">
        <v>75900</v>
      </c>
      <c r="D17" s="347"/>
    </row>
    <row r="18" spans="1:4">
      <c r="A18" s="180" t="s">
        <v>1559</v>
      </c>
      <c r="B18" s="181"/>
      <c r="C18" s="180">
        <v>8079</v>
      </c>
      <c r="D18" s="184" t="s">
        <v>1560</v>
      </c>
    </row>
    <row r="19" spans="1:4">
      <c r="A19" s="180" t="s">
        <v>1561</v>
      </c>
      <c r="B19" s="181"/>
      <c r="C19" s="180">
        <v>22115</v>
      </c>
      <c r="D19" s="184" t="s">
        <v>1562</v>
      </c>
    </row>
    <row r="20" spans="1:4">
      <c r="A20" s="180" t="s">
        <v>1563</v>
      </c>
      <c r="B20" s="181"/>
      <c r="C20" s="180">
        <v>52295</v>
      </c>
      <c r="D20" s="184" t="s">
        <v>1564</v>
      </c>
    </row>
    <row r="21" spans="1:4">
      <c r="A21" s="180" t="s">
        <v>1565</v>
      </c>
      <c r="B21" s="181"/>
      <c r="C21" s="180">
        <v>41764</v>
      </c>
      <c r="D21" s="180" t="s">
        <v>1566</v>
      </c>
    </row>
    <row r="22" spans="1:4">
      <c r="A22" s="180" t="s">
        <v>1723</v>
      </c>
      <c r="B22" s="181"/>
      <c r="C22" s="180">
        <v>857814</v>
      </c>
      <c r="D22" s="180" t="s">
        <v>1724</v>
      </c>
    </row>
    <row r="24" spans="1:4" ht="15">
      <c r="A24" s="185" t="s">
        <v>1107</v>
      </c>
      <c r="B24" s="186"/>
      <c r="C24" s="187">
        <f>SUM(C5:C23)</f>
        <v>3386852</v>
      </c>
      <c r="D24" s="188"/>
    </row>
    <row r="25" spans="1:4" ht="15">
      <c r="A25" s="173" t="s">
        <v>1567</v>
      </c>
      <c r="B25" s="174"/>
      <c r="C25" s="267" t="s">
        <v>1722</v>
      </c>
      <c r="D25" s="189"/>
    </row>
    <row r="26" spans="1:4" ht="13.9" customHeight="1">
      <c r="A26" s="190" t="s">
        <v>1568</v>
      </c>
    </row>
    <row r="27" spans="1:4">
      <c r="A27" s="172" t="s">
        <v>1569</v>
      </c>
      <c r="C27" s="172">
        <f>SUM(C15)</f>
        <v>36640</v>
      </c>
      <c r="D27" s="191" t="s">
        <v>1555</v>
      </c>
    </row>
    <row r="28" spans="1:4" ht="15">
      <c r="A28" s="178" t="s">
        <v>1570</v>
      </c>
      <c r="C28" s="190">
        <f>SUM(C27:C27)</f>
        <v>36640</v>
      </c>
      <c r="D28" s="191"/>
    </row>
    <row r="29" spans="1:4" ht="15">
      <c r="A29" s="190" t="s">
        <v>1571</v>
      </c>
      <c r="D29" s="191"/>
    </row>
    <row r="30" spans="1:4">
      <c r="A30" s="172" t="s">
        <v>1556</v>
      </c>
      <c r="C30" s="172">
        <f t="shared" ref="C30:C31" si="0">C16</f>
        <v>79705</v>
      </c>
      <c r="D30" s="346" t="s">
        <v>1557</v>
      </c>
    </row>
    <row r="31" spans="1:4">
      <c r="A31" s="172" t="s">
        <v>1572</v>
      </c>
      <c r="C31" s="172">
        <f t="shared" si="0"/>
        <v>75900</v>
      </c>
      <c r="D31" s="346"/>
    </row>
    <row r="32" spans="1:4">
      <c r="A32" s="172" t="s">
        <v>1545</v>
      </c>
      <c r="C32" s="172">
        <f>C10</f>
        <v>58216</v>
      </c>
      <c r="D32" s="346" t="s">
        <v>1546</v>
      </c>
    </row>
    <row r="33" spans="1:4" ht="15">
      <c r="A33" s="183" t="s">
        <v>1547</v>
      </c>
      <c r="C33" s="192">
        <f>C11</f>
        <v>66430</v>
      </c>
      <c r="D33" s="346"/>
    </row>
    <row r="34" spans="1:4" ht="15">
      <c r="A34" s="183" t="s">
        <v>1543</v>
      </c>
      <c r="C34" s="192">
        <f>C9</f>
        <v>110306</v>
      </c>
      <c r="D34" s="191" t="s">
        <v>1573</v>
      </c>
    </row>
    <row r="35" spans="1:4" ht="15">
      <c r="A35" s="178" t="s">
        <v>1570</v>
      </c>
      <c r="C35" s="190">
        <f>SUM(C30:C34)</f>
        <v>390557</v>
      </c>
      <c r="D35" s="191"/>
    </row>
    <row r="36" spans="1:4" ht="15">
      <c r="A36" s="190" t="s">
        <v>1574</v>
      </c>
      <c r="D36" s="191"/>
    </row>
    <row r="37" spans="1:4">
      <c r="A37" s="172" t="s">
        <v>1552</v>
      </c>
      <c r="C37" s="172">
        <f>C14</f>
        <v>44366</v>
      </c>
      <c r="D37" s="191" t="s">
        <v>1553</v>
      </c>
    </row>
    <row r="38" spans="1:4" ht="15">
      <c r="A38" s="180" t="s">
        <v>1446</v>
      </c>
      <c r="C38" s="192">
        <f t="shared" ref="C38:C39" si="1">C7</f>
        <v>225168</v>
      </c>
      <c r="D38" s="346" t="s">
        <v>1541</v>
      </c>
    </row>
    <row r="39" spans="1:4" ht="15">
      <c r="A39" s="180" t="s">
        <v>1575</v>
      </c>
      <c r="C39" s="192">
        <f t="shared" si="1"/>
        <v>83362</v>
      </c>
      <c r="D39" s="346"/>
    </row>
    <row r="40" spans="1:4" ht="15">
      <c r="A40" s="178" t="s">
        <v>1570</v>
      </c>
      <c r="C40" s="190">
        <f>SUM(C37:C39)</f>
        <v>352896</v>
      </c>
      <c r="D40" s="191"/>
    </row>
    <row r="41" spans="1:4" ht="15">
      <c r="A41" s="190" t="s">
        <v>1576</v>
      </c>
      <c r="D41" s="191"/>
    </row>
    <row r="42" spans="1:4">
      <c r="A42" s="172" t="s">
        <v>1559</v>
      </c>
      <c r="C42" s="172">
        <f>C18</f>
        <v>8079</v>
      </c>
      <c r="D42" s="191" t="s">
        <v>1560</v>
      </c>
    </row>
    <row r="43" spans="1:4" ht="15">
      <c r="A43" s="178" t="s">
        <v>1570</v>
      </c>
      <c r="C43" s="190">
        <f>SUM(C42)</f>
        <v>8079</v>
      </c>
    </row>
    <row r="44" spans="1:4" ht="15">
      <c r="A44" s="193" t="s">
        <v>1561</v>
      </c>
      <c r="C44" s="192"/>
      <c r="D44" s="191"/>
    </row>
    <row r="45" spans="1:4" ht="15">
      <c r="A45" s="192" t="s">
        <v>1561</v>
      </c>
      <c r="C45" s="192">
        <f>C19</f>
        <v>22115</v>
      </c>
      <c r="D45" s="191" t="s">
        <v>1577</v>
      </c>
    </row>
    <row r="46" spans="1:4" ht="15">
      <c r="A46" s="178" t="s">
        <v>1570</v>
      </c>
      <c r="C46" s="193">
        <f>SUM(C45)</f>
        <v>22115</v>
      </c>
      <c r="D46" s="191"/>
    </row>
    <row r="47" spans="1:4" ht="15">
      <c r="A47" s="190" t="s">
        <v>1578</v>
      </c>
      <c r="D47" s="191"/>
    </row>
    <row r="48" spans="1:4">
      <c r="A48" s="172" t="s">
        <v>1548</v>
      </c>
      <c r="C48" s="172">
        <f t="shared" ref="C48:C49" si="2">C12</f>
        <v>391008</v>
      </c>
      <c r="D48" s="191" t="s">
        <v>1549</v>
      </c>
    </row>
    <row r="49" spans="1:4">
      <c r="A49" s="172" t="s">
        <v>1579</v>
      </c>
      <c r="C49" s="172">
        <f t="shared" si="2"/>
        <v>172500</v>
      </c>
      <c r="D49" s="191" t="s">
        <v>1580</v>
      </c>
    </row>
    <row r="50" spans="1:4" ht="15">
      <c r="A50" s="178" t="s">
        <v>1570</v>
      </c>
      <c r="C50" s="190">
        <f>C49+C48</f>
        <v>563508</v>
      </c>
      <c r="D50" s="191"/>
    </row>
    <row r="51" spans="1:4" ht="15">
      <c r="A51" s="190" t="s">
        <v>1581</v>
      </c>
      <c r="D51" s="191"/>
    </row>
    <row r="52" spans="1:4">
      <c r="A52" s="172" t="s">
        <v>1582</v>
      </c>
      <c r="C52" s="172">
        <f>C5</f>
        <v>474759</v>
      </c>
      <c r="D52" s="191" t="s">
        <v>1583</v>
      </c>
    </row>
    <row r="53" spans="1:4">
      <c r="A53" s="172" t="s">
        <v>1565</v>
      </c>
      <c r="C53" s="172">
        <f>C21</f>
        <v>41764</v>
      </c>
      <c r="D53" s="191" t="s">
        <v>1566</v>
      </c>
    </row>
    <row r="54" spans="1:4" ht="15">
      <c r="A54" s="178" t="s">
        <v>1570</v>
      </c>
      <c r="C54" s="194">
        <f>SUM(C52:C53)</f>
        <v>516523</v>
      </c>
      <c r="D54" s="195"/>
    </row>
    <row r="55" spans="1:4" ht="15">
      <c r="A55" s="190" t="s">
        <v>1584</v>
      </c>
      <c r="D55" s="196"/>
    </row>
    <row r="56" spans="1:4">
      <c r="A56" s="172" t="s">
        <v>1585</v>
      </c>
      <c r="C56" s="172">
        <f>C6</f>
        <v>586425</v>
      </c>
      <c r="D56" s="191" t="s">
        <v>1586</v>
      </c>
    </row>
    <row r="57" spans="1:4">
      <c r="A57" s="172" t="s">
        <v>1723</v>
      </c>
      <c r="C57" s="172">
        <f>C22</f>
        <v>857814</v>
      </c>
      <c r="D57" s="191" t="s">
        <v>1725</v>
      </c>
    </row>
    <row r="58" spans="1:4" ht="15">
      <c r="A58" s="178" t="s">
        <v>1570</v>
      </c>
      <c r="C58" s="190">
        <f>SUM(C56:C57)</f>
        <v>1444239</v>
      </c>
    </row>
    <row r="59" spans="1:4" ht="15">
      <c r="A59" s="197" t="s">
        <v>1587</v>
      </c>
      <c r="C59" s="190"/>
    </row>
    <row r="60" spans="1:4">
      <c r="A60" s="198" t="s">
        <v>1588</v>
      </c>
      <c r="C60" s="172">
        <f>C20</f>
        <v>52295</v>
      </c>
      <c r="D60" s="191" t="s">
        <v>1564</v>
      </c>
    </row>
    <row r="61" spans="1:4" ht="15">
      <c r="A61" s="178" t="s">
        <v>1570</v>
      </c>
      <c r="C61" s="190">
        <f>C60</f>
        <v>52295</v>
      </c>
    </row>
    <row r="62" spans="1:4" ht="15">
      <c r="A62" s="178"/>
      <c r="C62" s="190"/>
    </row>
    <row r="63" spans="1:4" ht="15">
      <c r="A63" s="185" t="s">
        <v>1107</v>
      </c>
      <c r="B63" s="186"/>
      <c r="C63" s="187">
        <f>C28+C35+C40+C43+C46+C50+C54+C58+C61</f>
        <v>3386852</v>
      </c>
      <c r="D63" s="188"/>
    </row>
    <row r="64" spans="1:4" ht="15">
      <c r="A64" s="199" t="s">
        <v>1589</v>
      </c>
      <c r="B64" s="200"/>
      <c r="C64" s="268" t="s">
        <v>1722</v>
      </c>
      <c r="D64" s="176" t="s">
        <v>252</v>
      </c>
    </row>
    <row r="65" spans="1:4" ht="15">
      <c r="A65" s="190" t="s">
        <v>1568</v>
      </c>
      <c r="D65" s="191"/>
    </row>
    <row r="66" spans="1:4">
      <c r="A66" s="172" t="s">
        <v>1590</v>
      </c>
      <c r="C66" s="172">
        <f>C102</f>
        <v>16800</v>
      </c>
      <c r="D66" s="191"/>
    </row>
    <row r="67" spans="1:4">
      <c r="A67" s="172" t="s">
        <v>1591</v>
      </c>
      <c r="C67" s="172">
        <f>C108</f>
        <v>25060</v>
      </c>
      <c r="D67" s="191"/>
    </row>
    <row r="68" spans="1:4" ht="15">
      <c r="A68" s="190" t="s">
        <v>1571</v>
      </c>
      <c r="D68" s="191"/>
    </row>
    <row r="69" spans="1:4">
      <c r="A69" s="172" t="s">
        <v>1590</v>
      </c>
      <c r="C69" s="172">
        <f>C122+C136+C151+C168</f>
        <v>203433.44</v>
      </c>
      <c r="D69" s="191"/>
    </row>
    <row r="70" spans="1:4">
      <c r="A70" s="172" t="s">
        <v>1591</v>
      </c>
      <c r="C70" s="172">
        <f>C115+C128+C144+C159+C175</f>
        <v>179265.5</v>
      </c>
      <c r="D70" s="191"/>
    </row>
    <row r="71" spans="1:4" ht="15">
      <c r="A71" s="190" t="s">
        <v>1574</v>
      </c>
      <c r="D71" s="191"/>
    </row>
    <row r="72" spans="1:4">
      <c r="A72" s="172" t="s">
        <v>1590</v>
      </c>
      <c r="C72" s="172">
        <f>C185+C202+C217</f>
        <v>292468.95999999996</v>
      </c>
      <c r="D72" s="191"/>
    </row>
    <row r="73" spans="1:4">
      <c r="A73" s="172" t="s">
        <v>1591</v>
      </c>
      <c r="C73" s="172">
        <f>C190+C208+C222</f>
        <v>42910</v>
      </c>
      <c r="D73" s="191"/>
    </row>
    <row r="74" spans="1:4" ht="15">
      <c r="A74" s="190" t="s">
        <v>1576</v>
      </c>
      <c r="D74" s="191"/>
    </row>
    <row r="75" spans="1:4">
      <c r="A75" s="172" t="s">
        <v>1590</v>
      </c>
      <c r="C75" s="172">
        <v>0</v>
      </c>
      <c r="D75" s="191"/>
    </row>
    <row r="76" spans="1:4">
      <c r="A76" s="172" t="s">
        <v>1591</v>
      </c>
      <c r="C76" s="172">
        <f>C230</f>
        <v>8079</v>
      </c>
      <c r="D76" s="191"/>
    </row>
    <row r="77" spans="1:4" ht="15">
      <c r="A77" s="193" t="s">
        <v>1561</v>
      </c>
      <c r="D77" s="191"/>
    </row>
    <row r="78" spans="1:4">
      <c r="A78" s="172" t="s">
        <v>1590</v>
      </c>
      <c r="C78" s="172">
        <f>C239</f>
        <v>42890</v>
      </c>
      <c r="D78" s="191"/>
    </row>
    <row r="79" spans="1:4" ht="15">
      <c r="A79" s="192" t="s">
        <v>1591</v>
      </c>
      <c r="C79" s="172">
        <f>C244</f>
        <v>6800</v>
      </c>
      <c r="D79" s="191"/>
    </row>
    <row r="80" spans="1:4" ht="15">
      <c r="A80" s="190" t="s">
        <v>1578</v>
      </c>
      <c r="D80" s="191"/>
    </row>
    <row r="81" spans="1:4">
      <c r="A81" s="172" t="s">
        <v>1590</v>
      </c>
      <c r="C81" s="172">
        <f>C260+C280</f>
        <v>463295</v>
      </c>
      <c r="D81" s="191"/>
    </row>
    <row r="82" spans="1:4">
      <c r="A82" s="172" t="s">
        <v>1591</v>
      </c>
      <c r="C82" s="172">
        <f>C269+C287</f>
        <v>100211</v>
      </c>
      <c r="D82" s="191"/>
    </row>
    <row r="83" spans="1:4" ht="15">
      <c r="A83" s="190" t="s">
        <v>1592</v>
      </c>
      <c r="D83" s="191"/>
    </row>
    <row r="84" spans="1:4">
      <c r="A84" s="172" t="s">
        <v>1590</v>
      </c>
      <c r="C84" s="172">
        <f>C299+C327</f>
        <v>276651</v>
      </c>
      <c r="D84" s="191"/>
    </row>
    <row r="85" spans="1:4">
      <c r="A85" s="172" t="s">
        <v>1591</v>
      </c>
      <c r="C85" s="172">
        <f>C319+C331</f>
        <v>197888</v>
      </c>
      <c r="D85" s="191"/>
    </row>
    <row r="86" spans="1:4" ht="15">
      <c r="A86" s="190" t="s">
        <v>1584</v>
      </c>
      <c r="D86" s="191"/>
    </row>
    <row r="87" spans="1:4">
      <c r="A87" s="172" t="s">
        <v>1590</v>
      </c>
      <c r="C87" s="172">
        <f>C345+C363</f>
        <v>924231</v>
      </c>
      <c r="D87" s="191"/>
    </row>
    <row r="88" spans="1:4">
      <c r="A88" s="172" t="s">
        <v>1591</v>
      </c>
      <c r="C88" s="172">
        <f>C353+C372</f>
        <v>520008</v>
      </c>
      <c r="D88" s="191"/>
    </row>
    <row r="89" spans="1:4" ht="15">
      <c r="A89" s="190" t="s">
        <v>1587</v>
      </c>
      <c r="D89" s="191"/>
    </row>
    <row r="90" spans="1:4">
      <c r="A90" s="172" t="s">
        <v>1590</v>
      </c>
      <c r="C90" s="172">
        <f>C383</f>
        <v>59661</v>
      </c>
      <c r="D90" s="191"/>
    </row>
    <row r="91" spans="1:4">
      <c r="A91" s="198" t="s">
        <v>1591</v>
      </c>
      <c r="C91" s="172">
        <f>C388</f>
        <v>27200</v>
      </c>
      <c r="D91" s="191"/>
    </row>
    <row r="92" spans="1:4">
      <c r="A92" s="198"/>
      <c r="D92" s="191"/>
    </row>
    <row r="93" spans="1:4" ht="15">
      <c r="A93" s="185" t="s">
        <v>1593</v>
      </c>
      <c r="B93" s="186"/>
      <c r="C93" s="187">
        <f>SUM(C66:C91)</f>
        <v>3386851.9</v>
      </c>
      <c r="D93" s="201"/>
    </row>
    <row r="94" spans="1:4" ht="15">
      <c r="A94" s="202" t="s">
        <v>59</v>
      </c>
      <c r="B94" s="203"/>
      <c r="C94" s="204">
        <f>SUM(C63-C93)</f>
        <v>0.10000000009313226</v>
      </c>
      <c r="D94" s="205"/>
    </row>
    <row r="95" spans="1:4" ht="15">
      <c r="A95" s="206" t="s">
        <v>1594</v>
      </c>
      <c r="B95" s="207"/>
      <c r="C95" s="208"/>
      <c r="D95" s="208"/>
    </row>
    <row r="97" spans="1:4" ht="15">
      <c r="A97" s="209" t="s">
        <v>1595</v>
      </c>
      <c r="B97" s="210" t="s">
        <v>1596</v>
      </c>
      <c r="C97" s="266" t="s">
        <v>1722</v>
      </c>
      <c r="D97" s="179" t="s">
        <v>252</v>
      </c>
    </row>
    <row r="98" spans="1:4" ht="15">
      <c r="A98" s="211" t="s">
        <v>1590</v>
      </c>
      <c r="B98" s="212"/>
      <c r="D98" s="191"/>
    </row>
    <row r="99" spans="1:4">
      <c r="A99" s="172" t="s">
        <v>1597</v>
      </c>
      <c r="B99" s="212">
        <v>0.4</v>
      </c>
      <c r="C99" s="172">
        <v>15000</v>
      </c>
    </row>
    <row r="100" spans="1:4" ht="15">
      <c r="A100" s="178" t="s">
        <v>1570</v>
      </c>
      <c r="B100" s="212"/>
      <c r="C100" s="190">
        <f>SUM(C99)</f>
        <v>15000</v>
      </c>
      <c r="D100" s="191"/>
    </row>
    <row r="101" spans="1:4" ht="15">
      <c r="A101" s="213" t="s">
        <v>1598</v>
      </c>
      <c r="B101" s="214"/>
      <c r="C101" s="192">
        <f>C99*0.12</f>
        <v>1800</v>
      </c>
      <c r="D101" s="191"/>
    </row>
    <row r="102" spans="1:4" ht="15">
      <c r="A102" s="178" t="s">
        <v>1570</v>
      </c>
      <c r="B102" s="212"/>
      <c r="C102" s="190">
        <f>SUM(C100:C101)</f>
        <v>16800</v>
      </c>
      <c r="D102" s="191"/>
    </row>
    <row r="103" spans="1:4">
      <c r="A103" s="198" t="s">
        <v>1599</v>
      </c>
      <c r="B103" s="212"/>
      <c r="C103" s="172">
        <v>20060</v>
      </c>
      <c r="D103" s="191"/>
    </row>
    <row r="104" spans="1:4">
      <c r="A104" s="198" t="s">
        <v>1600</v>
      </c>
      <c r="B104" s="212"/>
      <c r="C104" s="172">
        <v>2000</v>
      </c>
      <c r="D104" s="198" t="s">
        <v>1601</v>
      </c>
    </row>
    <row r="105" spans="1:4">
      <c r="A105" s="198" t="s">
        <v>1435</v>
      </c>
      <c r="B105" s="212"/>
      <c r="C105" s="172">
        <v>1000</v>
      </c>
      <c r="D105" s="191"/>
    </row>
    <row r="106" spans="1:4" ht="15">
      <c r="A106" s="172" t="s">
        <v>1602</v>
      </c>
      <c r="B106" s="212"/>
      <c r="C106" s="192">
        <v>1500</v>
      </c>
      <c r="D106" s="191"/>
    </row>
    <row r="107" spans="1:4" ht="15">
      <c r="A107" s="172" t="s">
        <v>1151</v>
      </c>
      <c r="B107" s="212"/>
      <c r="C107" s="192">
        <v>500</v>
      </c>
      <c r="D107" s="191"/>
    </row>
    <row r="108" spans="1:4" ht="15">
      <c r="A108" s="178" t="s">
        <v>1570</v>
      </c>
      <c r="B108" s="212"/>
      <c r="C108" s="190">
        <f>SUM(C103:C107)</f>
        <v>25060</v>
      </c>
      <c r="D108" s="196"/>
    </row>
    <row r="109" spans="1:4" ht="15">
      <c r="A109" s="215" t="s">
        <v>1132</v>
      </c>
      <c r="B109" s="216"/>
      <c r="C109" s="217">
        <f>SUM(C102,C108)</f>
        <v>41860</v>
      </c>
      <c r="D109" s="218"/>
    </row>
    <row r="110" spans="1:4" ht="15">
      <c r="A110" s="206" t="s">
        <v>1603</v>
      </c>
      <c r="B110" s="219"/>
      <c r="C110" s="208"/>
      <c r="D110" s="208"/>
    </row>
    <row r="112" spans="1:4" ht="15">
      <c r="A112" s="209" t="s">
        <v>1556</v>
      </c>
      <c r="B112" s="220" t="s">
        <v>1596</v>
      </c>
      <c r="C112" s="269" t="s">
        <v>1722</v>
      </c>
      <c r="D112" s="179" t="s">
        <v>252</v>
      </c>
    </row>
    <row r="113" spans="1:4" ht="15">
      <c r="A113" s="172" t="s">
        <v>1599</v>
      </c>
      <c r="B113" s="212"/>
      <c r="C113" s="192">
        <v>75000</v>
      </c>
      <c r="D113" s="196"/>
    </row>
    <row r="114" spans="1:4">
      <c r="A114" s="172" t="s">
        <v>1600</v>
      </c>
      <c r="B114" s="212"/>
      <c r="C114" s="172">
        <f>C30*0.1</f>
        <v>7970.5</v>
      </c>
      <c r="D114" s="171">
        <v>0.1</v>
      </c>
    </row>
    <row r="115" spans="1:4" ht="15">
      <c r="A115" s="215" t="s">
        <v>1132</v>
      </c>
      <c r="B115" s="222"/>
      <c r="C115" s="217">
        <f>C114+C113</f>
        <v>82970.5</v>
      </c>
      <c r="D115" s="218"/>
    </row>
    <row r="116" spans="1:4" ht="15">
      <c r="A116" s="221"/>
      <c r="B116" s="181"/>
      <c r="C116" s="194"/>
      <c r="D116" s="223"/>
    </row>
    <row r="117" spans="1:4" ht="15">
      <c r="A117" s="209" t="s">
        <v>1572</v>
      </c>
      <c r="B117" s="210" t="s">
        <v>1596</v>
      </c>
      <c r="C117" s="269" t="s">
        <v>1722</v>
      </c>
      <c r="D117" s="179" t="s">
        <v>252</v>
      </c>
    </row>
    <row r="118" spans="1:4" ht="15">
      <c r="A118" s="211" t="s">
        <v>1590</v>
      </c>
      <c r="C118" s="180"/>
      <c r="D118" s="191"/>
    </row>
    <row r="119" spans="1:4" ht="15">
      <c r="A119" s="172" t="s">
        <v>1604</v>
      </c>
      <c r="B119" s="212">
        <v>1</v>
      </c>
      <c r="C119" s="183">
        <v>31712</v>
      </c>
    </row>
    <row r="120" spans="1:4" ht="15">
      <c r="A120" s="178" t="s">
        <v>1570</v>
      </c>
      <c r="B120" s="212"/>
      <c r="C120" s="194">
        <f>SUM(C119:C119)</f>
        <v>31712</v>
      </c>
      <c r="D120" s="196"/>
    </row>
    <row r="121" spans="1:4" ht="15">
      <c r="A121" s="213" t="s">
        <v>1605</v>
      </c>
      <c r="B121" s="214"/>
      <c r="C121" s="183">
        <f>SUM(C120*0.12)</f>
        <v>3805.44</v>
      </c>
      <c r="D121" s="196"/>
    </row>
    <row r="122" spans="1:4" ht="15">
      <c r="A122" s="178" t="s">
        <v>1570</v>
      </c>
      <c r="B122" s="212"/>
      <c r="C122" s="190">
        <f>SUM(C120:C121)</f>
        <v>35517.440000000002</v>
      </c>
      <c r="D122" s="196"/>
    </row>
    <row r="123" spans="1:4" ht="15">
      <c r="A123" s="172" t="s">
        <v>1599</v>
      </c>
      <c r="B123" s="212"/>
      <c r="C123" s="192">
        <v>12820</v>
      </c>
      <c r="D123" s="196"/>
    </row>
    <row r="124" spans="1:4">
      <c r="A124" s="172" t="s">
        <v>1600</v>
      </c>
      <c r="B124" s="212"/>
      <c r="C124" s="172">
        <v>7590</v>
      </c>
      <c r="D124" s="171">
        <v>0.1</v>
      </c>
    </row>
    <row r="125" spans="1:4">
      <c r="A125" s="180" t="s">
        <v>1170</v>
      </c>
      <c r="B125" s="224"/>
      <c r="C125" s="180">
        <v>10000</v>
      </c>
      <c r="D125" s="225"/>
    </row>
    <row r="126" spans="1:4">
      <c r="A126" s="172" t="s">
        <v>1435</v>
      </c>
      <c r="B126" s="212"/>
      <c r="C126" s="172">
        <v>500</v>
      </c>
      <c r="D126" s="196"/>
    </row>
    <row r="127" spans="1:4" ht="15">
      <c r="A127" s="192" t="s">
        <v>1602</v>
      </c>
      <c r="B127" s="214"/>
      <c r="C127" s="192">
        <v>1500</v>
      </c>
      <c r="D127" s="196"/>
    </row>
    <row r="128" spans="1:4" ht="15">
      <c r="A128" s="178" t="s">
        <v>1570</v>
      </c>
      <c r="B128" s="212"/>
      <c r="C128" s="190">
        <f>SUM(C123:C127)</f>
        <v>32410</v>
      </c>
      <c r="D128" s="196"/>
    </row>
    <row r="129" spans="1:4" ht="15">
      <c r="A129" s="215" t="s">
        <v>1132</v>
      </c>
      <c r="B129" s="222"/>
      <c r="C129" s="217">
        <f>SUM(C122,C128)</f>
        <v>67927.44</v>
      </c>
      <c r="D129" s="218"/>
    </row>
    <row r="130" spans="1:4" ht="15">
      <c r="A130" s="221"/>
      <c r="B130" s="181"/>
      <c r="C130" s="194"/>
      <c r="D130" s="223"/>
    </row>
    <row r="131" spans="1:4" ht="15">
      <c r="A131" s="209" t="s">
        <v>1545</v>
      </c>
      <c r="B131" s="210" t="s">
        <v>1596</v>
      </c>
      <c r="C131" s="266" t="s">
        <v>1722</v>
      </c>
      <c r="D131" s="179" t="s">
        <v>252</v>
      </c>
    </row>
    <row r="132" spans="1:4" ht="15">
      <c r="A132" s="211" t="s">
        <v>1590</v>
      </c>
      <c r="B132" s="181"/>
      <c r="C132" s="180"/>
      <c r="D132" s="196"/>
    </row>
    <row r="133" spans="1:4">
      <c r="A133" s="172" t="s">
        <v>1606</v>
      </c>
      <c r="B133" s="224">
        <v>1</v>
      </c>
      <c r="C133" s="180">
        <v>39050</v>
      </c>
    </row>
    <row r="134" spans="1:4" ht="15">
      <c r="A134" s="178" t="s">
        <v>1570</v>
      </c>
      <c r="B134" s="224"/>
      <c r="C134" s="194">
        <f>SUM(C133:C133)</f>
        <v>39050</v>
      </c>
      <c r="D134" s="196"/>
    </row>
    <row r="135" spans="1:4" ht="15">
      <c r="A135" s="213" t="s">
        <v>1605</v>
      </c>
      <c r="B135" s="226"/>
      <c r="C135" s="183">
        <f>SUM(C134*0.12)</f>
        <v>4686</v>
      </c>
      <c r="D135" s="196"/>
    </row>
    <row r="136" spans="1:4" ht="15">
      <c r="A136" s="178" t="s">
        <v>1570</v>
      </c>
      <c r="B136" s="212"/>
      <c r="C136" s="190">
        <f>SUM(C134:C135)</f>
        <v>43736</v>
      </c>
      <c r="D136" s="196"/>
    </row>
    <row r="137" spans="1:4">
      <c r="A137" s="172" t="s">
        <v>1599</v>
      </c>
      <c r="B137" s="212"/>
      <c r="C137" s="172">
        <v>6450</v>
      </c>
      <c r="D137" s="196"/>
    </row>
    <row r="138" spans="1:4" ht="15">
      <c r="A138" s="172" t="s">
        <v>1600</v>
      </c>
      <c r="B138" s="212"/>
      <c r="C138" s="192">
        <v>1150</v>
      </c>
      <c r="D138" s="198" t="s">
        <v>1601</v>
      </c>
    </row>
    <row r="139" spans="1:4">
      <c r="A139" s="172" t="s">
        <v>1607</v>
      </c>
      <c r="B139" s="212"/>
      <c r="C139" s="172">
        <v>2000</v>
      </c>
      <c r="D139" s="196"/>
    </row>
    <row r="140" spans="1:4">
      <c r="A140" s="172" t="s">
        <v>1608</v>
      </c>
      <c r="B140" s="212"/>
      <c r="C140" s="172">
        <v>1000</v>
      </c>
      <c r="D140" s="196"/>
    </row>
    <row r="141" spans="1:4">
      <c r="A141" s="172" t="s">
        <v>1435</v>
      </c>
      <c r="B141" s="212"/>
      <c r="C141" s="172">
        <v>1880</v>
      </c>
      <c r="D141" s="196"/>
    </row>
    <row r="142" spans="1:4" ht="15">
      <c r="A142" s="192" t="s">
        <v>1602</v>
      </c>
      <c r="B142" s="214"/>
      <c r="C142" s="192">
        <v>1500</v>
      </c>
      <c r="D142" s="227"/>
    </row>
    <row r="143" spans="1:4">
      <c r="A143" s="172" t="s">
        <v>1151</v>
      </c>
      <c r="B143" s="212"/>
      <c r="C143" s="172">
        <v>500</v>
      </c>
      <c r="D143" s="196"/>
    </row>
    <row r="144" spans="1:4" ht="15">
      <c r="A144" s="178" t="s">
        <v>1570</v>
      </c>
      <c r="B144" s="212"/>
      <c r="C144" s="190">
        <f>SUM(C137:C143)</f>
        <v>14480</v>
      </c>
      <c r="D144" s="196"/>
    </row>
    <row r="145" spans="1:4" ht="15">
      <c r="A145" s="215" t="s">
        <v>1132</v>
      </c>
      <c r="B145" s="222"/>
      <c r="C145" s="217">
        <f>SUM(C136,C144)</f>
        <v>58216</v>
      </c>
      <c r="D145" s="218"/>
    </row>
    <row r="146" spans="1:4" ht="15">
      <c r="A146" s="209" t="s">
        <v>1609</v>
      </c>
      <c r="B146" s="210" t="s">
        <v>1596</v>
      </c>
      <c r="C146" s="269" t="s">
        <v>1722</v>
      </c>
      <c r="D146" s="179" t="s">
        <v>252</v>
      </c>
    </row>
    <row r="147" spans="1:4" ht="15">
      <c r="A147" s="211" t="s">
        <v>1590</v>
      </c>
      <c r="C147" s="180"/>
      <c r="D147" s="191"/>
    </row>
    <row r="148" spans="1:4">
      <c r="A148" s="180" t="s">
        <v>1610</v>
      </c>
      <c r="B148" s="224">
        <v>1</v>
      </c>
      <c r="C148" s="180">
        <f>24782+12000</f>
        <v>36782</v>
      </c>
      <c r="D148" s="180"/>
    </row>
    <row r="149" spans="1:4" ht="15">
      <c r="A149" s="178" t="s">
        <v>1611</v>
      </c>
      <c r="B149" s="212"/>
      <c r="C149" s="194">
        <f>SUM(C148:C148)</f>
        <v>36782</v>
      </c>
      <c r="D149" s="196"/>
    </row>
    <row r="150" spans="1:4" ht="15">
      <c r="A150" s="213" t="s">
        <v>1612</v>
      </c>
      <c r="B150" s="214"/>
      <c r="C150" s="192">
        <f>SUM(C149*0)</f>
        <v>0</v>
      </c>
      <c r="D150" s="198"/>
    </row>
    <row r="151" spans="1:4" ht="15">
      <c r="A151" s="178" t="s">
        <v>1570</v>
      </c>
      <c r="B151" s="212"/>
      <c r="C151" s="193">
        <f>SUM(C149:C150)</f>
        <v>36782</v>
      </c>
      <c r="D151" s="196"/>
    </row>
    <row r="152" spans="1:4" ht="15">
      <c r="A152" s="172" t="s">
        <v>1599</v>
      </c>
      <c r="B152" s="212"/>
      <c r="C152" s="192">
        <v>13500</v>
      </c>
      <c r="D152" s="196"/>
    </row>
    <row r="153" spans="1:4">
      <c r="A153" s="172" t="s">
        <v>1600</v>
      </c>
      <c r="B153" s="212"/>
      <c r="C153" s="172">
        <f>C33*0.1</f>
        <v>6643</v>
      </c>
      <c r="D153" s="171">
        <v>0.1</v>
      </c>
    </row>
    <row r="154" spans="1:4">
      <c r="A154" s="172" t="s">
        <v>1613</v>
      </c>
      <c r="B154" s="212"/>
      <c r="C154" s="172">
        <f>500-98</f>
        <v>402</v>
      </c>
      <c r="D154" s="196"/>
    </row>
    <row r="155" spans="1:4">
      <c r="A155" s="172" t="s">
        <v>1614</v>
      </c>
      <c r="B155" s="212"/>
      <c r="C155" s="172">
        <v>0</v>
      </c>
      <c r="D155" s="196"/>
    </row>
    <row r="156" spans="1:4">
      <c r="A156" s="172" t="s">
        <v>1435</v>
      </c>
      <c r="B156" s="212"/>
      <c r="C156" s="172">
        <v>1880</v>
      </c>
      <c r="D156" s="196"/>
    </row>
    <row r="157" spans="1:4" ht="15">
      <c r="A157" s="192" t="s">
        <v>1602</v>
      </c>
      <c r="B157" s="214"/>
      <c r="C157" s="192">
        <v>1500</v>
      </c>
      <c r="D157" s="196"/>
    </row>
    <row r="158" spans="1:4">
      <c r="A158" s="172" t="s">
        <v>1151</v>
      </c>
      <c r="B158" s="212"/>
      <c r="C158" s="172">
        <v>500</v>
      </c>
      <c r="D158" s="196"/>
    </row>
    <row r="159" spans="1:4" ht="15">
      <c r="A159" s="178" t="s">
        <v>1611</v>
      </c>
      <c r="B159" s="212"/>
      <c r="C159" s="190">
        <f>SUM(C152:C158)</f>
        <v>24425</v>
      </c>
      <c r="D159" s="196"/>
    </row>
    <row r="160" spans="1:4" ht="15">
      <c r="A160" s="215" t="s">
        <v>1132</v>
      </c>
      <c r="B160" s="222"/>
      <c r="C160" s="217">
        <f>SUM(C151,C159)</f>
        <v>61207</v>
      </c>
      <c r="D160" s="218"/>
    </row>
    <row r="162" spans="1:4" ht="15">
      <c r="A162" s="209" t="s">
        <v>1615</v>
      </c>
      <c r="B162" s="210" t="s">
        <v>1596</v>
      </c>
      <c r="C162" s="266" t="s">
        <v>1722</v>
      </c>
      <c r="D162" s="179" t="s">
        <v>252</v>
      </c>
    </row>
    <row r="163" spans="1:4" ht="15">
      <c r="A163" s="211" t="s">
        <v>1590</v>
      </c>
      <c r="D163" s="191"/>
    </row>
    <row r="164" spans="1:4" ht="15">
      <c r="A164" s="172" t="s">
        <v>1616</v>
      </c>
      <c r="B164" s="212">
        <v>1</v>
      </c>
      <c r="C164" s="192">
        <v>38984</v>
      </c>
      <c r="D164" s="191"/>
    </row>
    <row r="165" spans="1:4" ht="15">
      <c r="A165" s="172" t="s">
        <v>1616</v>
      </c>
      <c r="B165" s="212">
        <v>1</v>
      </c>
      <c r="C165" s="192">
        <v>39050</v>
      </c>
      <c r="D165" s="191"/>
    </row>
    <row r="166" spans="1:4" ht="15">
      <c r="A166" s="178" t="s">
        <v>1570</v>
      </c>
      <c r="C166" s="190">
        <f>SUM(C164:C165)</f>
        <v>78034</v>
      </c>
      <c r="D166" s="196"/>
    </row>
    <row r="167" spans="1:4" ht="15">
      <c r="A167" s="213" t="s">
        <v>1605</v>
      </c>
      <c r="B167" s="214"/>
      <c r="C167" s="192">
        <v>9364</v>
      </c>
      <c r="D167" s="196"/>
    </row>
    <row r="168" spans="1:4" ht="15">
      <c r="A168" s="178" t="s">
        <v>1570</v>
      </c>
      <c r="B168" s="212"/>
      <c r="C168" s="190">
        <f>SUM(C166:C167)</f>
        <v>87398</v>
      </c>
      <c r="D168" s="196"/>
    </row>
    <row r="169" spans="1:4" ht="15">
      <c r="A169" s="198" t="s">
        <v>1599</v>
      </c>
      <c r="B169" s="212"/>
      <c r="C169" s="192">
        <v>10720</v>
      </c>
      <c r="D169" s="196"/>
    </row>
    <row r="170" spans="1:4">
      <c r="A170" s="198" t="s">
        <v>1600</v>
      </c>
      <c r="C170" s="172">
        <v>2000</v>
      </c>
      <c r="D170" s="198" t="s">
        <v>1601</v>
      </c>
    </row>
    <row r="171" spans="1:4">
      <c r="A171" s="198" t="s">
        <v>1617</v>
      </c>
      <c r="C171" s="172">
        <v>6000</v>
      </c>
      <c r="D171" s="196"/>
    </row>
    <row r="172" spans="1:4">
      <c r="A172" s="198" t="s">
        <v>1435</v>
      </c>
      <c r="C172" s="172">
        <v>3760</v>
      </c>
      <c r="D172" s="196"/>
    </row>
    <row r="173" spans="1:4" ht="15">
      <c r="A173" s="192" t="s">
        <v>1602</v>
      </c>
      <c r="B173" s="228"/>
      <c r="C173" s="192">
        <v>2000</v>
      </c>
      <c r="D173" s="191"/>
    </row>
    <row r="174" spans="1:4">
      <c r="A174" s="172" t="s">
        <v>1151</v>
      </c>
      <c r="C174" s="172">
        <v>500</v>
      </c>
      <c r="D174" s="191"/>
    </row>
    <row r="175" spans="1:4" ht="15">
      <c r="A175" s="178" t="s">
        <v>1570</v>
      </c>
      <c r="C175" s="190">
        <f>SUM(C169:C174)</f>
        <v>24980</v>
      </c>
      <c r="D175" s="196"/>
    </row>
    <row r="176" spans="1:4" ht="15">
      <c r="A176" s="215" t="s">
        <v>1132</v>
      </c>
      <c r="B176" s="222"/>
      <c r="C176" s="217">
        <f>SUM(C168,C175)</f>
        <v>112378</v>
      </c>
      <c r="D176" s="218"/>
    </row>
    <row r="177" spans="1:4" ht="15">
      <c r="A177" s="221"/>
      <c r="B177" s="181"/>
      <c r="C177" s="194"/>
      <c r="D177" s="223"/>
    </row>
    <row r="178" spans="1:4" ht="15">
      <c r="A178" s="206" t="s">
        <v>1618</v>
      </c>
      <c r="B178" s="229"/>
      <c r="C178" s="208"/>
      <c r="D178" s="208"/>
    </row>
    <row r="179" spans="1:4" ht="15">
      <c r="A179" s="221"/>
      <c r="B179" s="181"/>
      <c r="C179" s="194"/>
      <c r="D179" s="223"/>
    </row>
    <row r="180" spans="1:4" ht="15">
      <c r="A180" s="230" t="s">
        <v>1552</v>
      </c>
      <c r="B180" s="210" t="s">
        <v>1596</v>
      </c>
      <c r="C180" s="266" t="s">
        <v>1722</v>
      </c>
      <c r="D180" s="179" t="s">
        <v>252</v>
      </c>
    </row>
    <row r="181" spans="1:4" ht="15">
      <c r="A181" s="211" t="s">
        <v>1590</v>
      </c>
      <c r="B181" s="210"/>
      <c r="C181" s="178"/>
      <c r="D181" s="179"/>
    </row>
    <row r="182" spans="1:4">
      <c r="A182" s="225" t="s">
        <v>1597</v>
      </c>
      <c r="B182" s="181">
        <v>0.6</v>
      </c>
      <c r="C182" s="180">
        <v>18802</v>
      </c>
      <c r="D182" s="223"/>
    </row>
    <row r="183" spans="1:4" ht="15">
      <c r="A183" s="178" t="s">
        <v>1570</v>
      </c>
      <c r="B183" s="181"/>
      <c r="C183" s="194">
        <f>SUM(C182)</f>
        <v>18802</v>
      </c>
      <c r="D183" s="223"/>
    </row>
    <row r="184" spans="1:4">
      <c r="A184" s="225" t="s">
        <v>1605</v>
      </c>
      <c r="B184" s="181"/>
      <c r="C184" s="180">
        <f>C183*0.12</f>
        <v>2256.2399999999998</v>
      </c>
      <c r="D184" s="223"/>
    </row>
    <row r="185" spans="1:4" ht="15">
      <c r="A185" s="178" t="s">
        <v>1570</v>
      </c>
      <c r="B185" s="181"/>
      <c r="C185" s="194">
        <f>C183+C184</f>
        <v>21058.239999999998</v>
      </c>
      <c r="D185" s="223"/>
    </row>
    <row r="186" spans="1:4">
      <c r="A186" s="225" t="s">
        <v>1599</v>
      </c>
      <c r="B186" s="181"/>
      <c r="C186" s="180">
        <v>16445</v>
      </c>
      <c r="D186" s="223"/>
    </row>
    <row r="187" spans="1:4">
      <c r="A187" s="225" t="s">
        <v>1600</v>
      </c>
      <c r="B187" s="181"/>
      <c r="C187" s="180">
        <v>2000</v>
      </c>
      <c r="D187" s="225" t="s">
        <v>1601</v>
      </c>
    </row>
    <row r="188" spans="1:4">
      <c r="A188" s="225" t="s">
        <v>1435</v>
      </c>
      <c r="B188" s="181"/>
      <c r="C188" s="180">
        <v>1880</v>
      </c>
      <c r="D188" s="223"/>
    </row>
    <row r="189" spans="1:4">
      <c r="A189" s="225" t="s">
        <v>1619</v>
      </c>
      <c r="B189" s="181"/>
      <c r="C189" s="180">
        <v>1500</v>
      </c>
      <c r="D189" s="223"/>
    </row>
    <row r="190" spans="1:4" ht="15">
      <c r="A190" s="178" t="s">
        <v>1570</v>
      </c>
      <c r="B190" s="181"/>
      <c r="C190" s="194">
        <f>SUM(C186:C189)</f>
        <v>21825</v>
      </c>
      <c r="D190" s="223"/>
    </row>
    <row r="191" spans="1:4" ht="15">
      <c r="A191" s="215" t="s">
        <v>1620</v>
      </c>
      <c r="B191" s="222"/>
      <c r="C191" s="217">
        <f>C185+C190</f>
        <v>42883.24</v>
      </c>
      <c r="D191" s="218"/>
    </row>
    <row r="192" spans="1:4" ht="15">
      <c r="A192" s="221"/>
      <c r="B192" s="181"/>
      <c r="C192" s="194"/>
      <c r="D192" s="223"/>
    </row>
    <row r="193" spans="1:4" ht="15">
      <c r="A193" s="230" t="s">
        <v>1446</v>
      </c>
      <c r="B193" s="210" t="s">
        <v>1596</v>
      </c>
      <c r="C193" s="266" t="s">
        <v>1722</v>
      </c>
      <c r="D193" s="179" t="s">
        <v>252</v>
      </c>
    </row>
    <row r="194" spans="1:4" ht="15">
      <c r="A194" s="231" t="s">
        <v>1590</v>
      </c>
      <c r="D194" s="191"/>
    </row>
    <row r="195" spans="1:4">
      <c r="A195" s="172" t="s">
        <v>1621</v>
      </c>
      <c r="B195" s="212">
        <v>1</v>
      </c>
      <c r="C195" s="172">
        <v>62687</v>
      </c>
    </row>
    <row r="196" spans="1:4">
      <c r="A196" s="180" t="s">
        <v>1622</v>
      </c>
      <c r="B196" s="212">
        <v>1</v>
      </c>
      <c r="C196" s="172">
        <v>33661</v>
      </c>
    </row>
    <row r="197" spans="1:4">
      <c r="A197" s="180" t="s">
        <v>1623</v>
      </c>
      <c r="B197" s="212">
        <v>1</v>
      </c>
      <c r="C197" s="172">
        <v>15000</v>
      </c>
    </row>
    <row r="198" spans="1:4">
      <c r="A198" s="172" t="s">
        <v>1624</v>
      </c>
      <c r="B198" s="212">
        <v>1</v>
      </c>
      <c r="C198" s="172">
        <v>30729</v>
      </c>
    </row>
    <row r="199" spans="1:4">
      <c r="A199" s="172" t="s">
        <v>1625</v>
      </c>
      <c r="B199" s="212">
        <v>1</v>
      </c>
      <c r="C199" s="172">
        <v>27693</v>
      </c>
    </row>
    <row r="200" spans="1:4" ht="15">
      <c r="A200" s="178" t="s">
        <v>1570</v>
      </c>
      <c r="C200" s="190">
        <f>SUM(C195:C199)</f>
        <v>169770</v>
      </c>
    </row>
    <row r="201" spans="1:4" ht="15">
      <c r="A201" s="213" t="s">
        <v>1626</v>
      </c>
      <c r="B201" s="214"/>
      <c r="C201" s="192">
        <f>SUM(C200*0.12)</f>
        <v>20372.399999999998</v>
      </c>
    </row>
    <row r="202" spans="1:4" ht="15">
      <c r="A202" s="178" t="s">
        <v>1570</v>
      </c>
      <c r="B202" s="212"/>
      <c r="C202" s="190">
        <f>SUM(C200:C201)</f>
        <v>190142.4</v>
      </c>
    </row>
    <row r="203" spans="1:4" ht="15">
      <c r="A203" s="198" t="s">
        <v>1599</v>
      </c>
      <c r="B203" s="212"/>
      <c r="C203" s="192">
        <v>1000</v>
      </c>
    </row>
    <row r="204" spans="1:4">
      <c r="A204" s="198" t="s">
        <v>1627</v>
      </c>
      <c r="B204" s="212"/>
      <c r="C204" s="172">
        <v>0</v>
      </c>
    </row>
    <row r="205" spans="1:4">
      <c r="A205" s="198" t="s">
        <v>1435</v>
      </c>
      <c r="B205" s="212"/>
      <c r="C205" s="172">
        <v>1500</v>
      </c>
    </row>
    <row r="206" spans="1:4" ht="15">
      <c r="A206" s="213" t="s">
        <v>1602</v>
      </c>
      <c r="B206" s="214"/>
      <c r="C206" s="192">
        <v>3000</v>
      </c>
    </row>
    <row r="207" spans="1:4">
      <c r="A207" s="172" t="s">
        <v>1151</v>
      </c>
      <c r="C207" s="172">
        <v>8000</v>
      </c>
    </row>
    <row r="208" spans="1:4" ht="15">
      <c r="A208" s="178" t="s">
        <v>1570</v>
      </c>
      <c r="C208" s="190">
        <f>SUM(C203:C207)</f>
        <v>13500</v>
      </c>
      <c r="D208" s="232"/>
    </row>
    <row r="209" spans="1:4" ht="15">
      <c r="A209" s="215" t="s">
        <v>1132</v>
      </c>
      <c r="B209" s="222"/>
      <c r="C209" s="217">
        <f>SUM(C208,C202)</f>
        <v>203642.4</v>
      </c>
      <c r="D209" s="215"/>
    </row>
    <row r="210" spans="1:4" s="180" customFormat="1" ht="15">
      <c r="A210" s="221"/>
      <c r="B210" s="181"/>
      <c r="C210" s="194"/>
      <c r="D210" s="221"/>
    </row>
    <row r="211" spans="1:4" ht="15">
      <c r="A211" s="209" t="s">
        <v>1575</v>
      </c>
      <c r="B211" s="210" t="s">
        <v>1596</v>
      </c>
      <c r="C211" s="266" t="s">
        <v>1722</v>
      </c>
      <c r="D211" s="179" t="s">
        <v>252</v>
      </c>
    </row>
    <row r="213" spans="1:4" ht="15">
      <c r="A213" s="231" t="s">
        <v>1590</v>
      </c>
    </row>
    <row r="214" spans="1:4">
      <c r="A214" s="172" t="s">
        <v>1628</v>
      </c>
      <c r="B214" s="212">
        <v>1</v>
      </c>
      <c r="C214" s="172">
        <v>72561</v>
      </c>
    </row>
    <row r="215" spans="1:4" ht="15">
      <c r="A215" s="178" t="s">
        <v>1570</v>
      </c>
      <c r="C215" s="190">
        <f>C214</f>
        <v>72561</v>
      </c>
    </row>
    <row r="216" spans="1:4">
      <c r="A216" s="172" t="s">
        <v>1605</v>
      </c>
      <c r="C216" s="172">
        <f>C215*0.12</f>
        <v>8707.32</v>
      </c>
    </row>
    <row r="217" spans="1:4" ht="15">
      <c r="A217" s="178" t="s">
        <v>1570</v>
      </c>
      <c r="C217" s="190">
        <f>C215+C216</f>
        <v>81268.320000000007</v>
      </c>
    </row>
    <row r="218" spans="1:4">
      <c r="A218" s="172" t="s">
        <v>1599</v>
      </c>
      <c r="C218" s="172">
        <v>2585</v>
      </c>
    </row>
    <row r="219" spans="1:4">
      <c r="A219" s="172" t="s">
        <v>1600</v>
      </c>
      <c r="C219" s="172">
        <v>2000</v>
      </c>
      <c r="D219" s="198" t="s">
        <v>1601</v>
      </c>
    </row>
    <row r="220" spans="1:4">
      <c r="A220" s="172" t="s">
        <v>1435</v>
      </c>
      <c r="C220" s="172">
        <v>1500</v>
      </c>
    </row>
    <row r="221" spans="1:4">
      <c r="A221" s="172" t="s">
        <v>1437</v>
      </c>
      <c r="C221" s="172">
        <v>1500</v>
      </c>
    </row>
    <row r="222" spans="1:4" ht="15">
      <c r="A222" s="178" t="s">
        <v>1570</v>
      </c>
      <c r="C222" s="190">
        <f>C221+C220+C219+C218</f>
        <v>7585</v>
      </c>
    </row>
    <row r="223" spans="1:4" ht="15">
      <c r="A223" s="215" t="s">
        <v>1132</v>
      </c>
      <c r="B223" s="222"/>
      <c r="C223" s="217">
        <f>C222+C217</f>
        <v>88853.32</v>
      </c>
      <c r="D223" s="233"/>
    </row>
    <row r="224" spans="1:4" s="180" customFormat="1" ht="15">
      <c r="A224" s="221"/>
      <c r="B224" s="181"/>
      <c r="C224" s="194"/>
    </row>
    <row r="225" spans="1:4" ht="15">
      <c r="A225" s="206" t="s">
        <v>1629</v>
      </c>
      <c r="B225" s="229"/>
      <c r="C225" s="208"/>
      <c r="D225" s="208"/>
    </row>
    <row r="227" spans="1:4" ht="15">
      <c r="A227" s="209" t="s">
        <v>1630</v>
      </c>
      <c r="B227" s="210" t="s">
        <v>1596</v>
      </c>
      <c r="C227" s="266" t="s">
        <v>1722</v>
      </c>
      <c r="D227" s="179" t="s">
        <v>252</v>
      </c>
    </row>
    <row r="228" spans="1:4" ht="15">
      <c r="A228" s="172" t="s">
        <v>1599</v>
      </c>
      <c r="C228" s="192">
        <v>8079</v>
      </c>
      <c r="D228" s="232"/>
    </row>
    <row r="229" spans="1:4" ht="15">
      <c r="A229" s="178" t="s">
        <v>1570</v>
      </c>
      <c r="C229" s="190">
        <f>SUM(C228:C228)</f>
        <v>8079</v>
      </c>
    </row>
    <row r="230" spans="1:4" ht="15">
      <c r="A230" s="215" t="s">
        <v>1132</v>
      </c>
      <c r="B230" s="222"/>
      <c r="C230" s="217">
        <f>C229</f>
        <v>8079</v>
      </c>
      <c r="D230" s="215"/>
    </row>
    <row r="231" spans="1:4" s="180" customFormat="1" ht="15">
      <c r="A231" s="221"/>
      <c r="B231" s="181"/>
      <c r="C231" s="194"/>
      <c r="D231" s="221"/>
    </row>
    <row r="232" spans="1:4" ht="15">
      <c r="A232" s="206" t="s">
        <v>1631</v>
      </c>
      <c r="B232" s="229"/>
      <c r="C232" s="208"/>
      <c r="D232" s="208"/>
    </row>
    <row r="233" spans="1:4" ht="15">
      <c r="A233" s="221"/>
      <c r="B233" s="181"/>
      <c r="C233" s="194"/>
      <c r="D233" s="180"/>
    </row>
    <row r="234" spans="1:4" ht="15">
      <c r="A234" s="234" t="s">
        <v>1632</v>
      </c>
      <c r="B234" s="210" t="s">
        <v>1596</v>
      </c>
      <c r="C234" s="266" t="s">
        <v>1722</v>
      </c>
      <c r="D234" s="179" t="s">
        <v>252</v>
      </c>
    </row>
    <row r="235" spans="1:4" ht="15">
      <c r="A235" s="231" t="s">
        <v>1590</v>
      </c>
      <c r="D235" s="191"/>
    </row>
    <row r="236" spans="1:4">
      <c r="A236" s="172" t="s">
        <v>1633</v>
      </c>
      <c r="B236" s="212">
        <v>1</v>
      </c>
      <c r="C236" s="172">
        <v>38295</v>
      </c>
      <c r="D236" s="191"/>
    </row>
    <row r="237" spans="1:4" ht="15">
      <c r="A237" s="178" t="s">
        <v>1570</v>
      </c>
      <c r="C237" s="190">
        <f>SUM(C236:C236)</f>
        <v>38295</v>
      </c>
    </row>
    <row r="238" spans="1:4" ht="15">
      <c r="A238" s="192" t="s">
        <v>1605</v>
      </c>
      <c r="B238" s="228"/>
      <c r="C238" s="192">
        <v>4595</v>
      </c>
    </row>
    <row r="239" spans="1:4" ht="15">
      <c r="A239" s="178" t="s">
        <v>1570</v>
      </c>
      <c r="C239" s="190">
        <f>SUM(C237:C238)</f>
        <v>42890</v>
      </c>
    </row>
    <row r="240" spans="1:4">
      <c r="A240" s="172" t="s">
        <v>1599</v>
      </c>
      <c r="C240" s="172">
        <v>3000</v>
      </c>
    </row>
    <row r="241" spans="1:4">
      <c r="A241" s="172" t="s">
        <v>1435</v>
      </c>
      <c r="C241" s="172">
        <v>1800</v>
      </c>
    </row>
    <row r="242" spans="1:4" ht="15">
      <c r="A242" s="192" t="s">
        <v>1602</v>
      </c>
      <c r="B242" s="228"/>
      <c r="C242" s="192">
        <v>1500</v>
      </c>
    </row>
    <row r="243" spans="1:4">
      <c r="A243" s="172" t="s">
        <v>1151</v>
      </c>
      <c r="C243" s="172">
        <v>500</v>
      </c>
    </row>
    <row r="244" spans="1:4" ht="15">
      <c r="A244" s="178" t="s">
        <v>1570</v>
      </c>
      <c r="C244" s="190">
        <f>SUM(C240:C243)</f>
        <v>6800</v>
      </c>
    </row>
    <row r="245" spans="1:4" ht="15">
      <c r="A245" s="215" t="s">
        <v>1132</v>
      </c>
      <c r="B245" s="222"/>
      <c r="C245" s="217">
        <f>SUM(C239,C244)</f>
        <v>49690</v>
      </c>
      <c r="D245" s="235"/>
    </row>
    <row r="246" spans="1:4" ht="15">
      <c r="A246" s="206" t="s">
        <v>1634</v>
      </c>
      <c r="B246" s="229"/>
      <c r="C246" s="208"/>
      <c r="D246" s="208"/>
    </row>
    <row r="248" spans="1:4" ht="15">
      <c r="A248" s="209" t="s">
        <v>1548</v>
      </c>
      <c r="B248" s="210" t="s">
        <v>1596</v>
      </c>
      <c r="C248" s="266" t="s">
        <v>1722</v>
      </c>
      <c r="D248" s="179" t="s">
        <v>252</v>
      </c>
    </row>
    <row r="249" spans="1:4" ht="15">
      <c r="A249" s="231" t="s">
        <v>1590</v>
      </c>
      <c r="D249" s="191"/>
    </row>
    <row r="250" spans="1:4">
      <c r="A250" s="172" t="s">
        <v>1635</v>
      </c>
      <c r="B250" s="177">
        <v>1</v>
      </c>
      <c r="C250" s="172">
        <v>67152</v>
      </c>
    </row>
    <row r="251" spans="1:4">
      <c r="A251" s="172" t="s">
        <v>1636</v>
      </c>
      <c r="B251" s="177">
        <v>1</v>
      </c>
      <c r="C251" s="172">
        <v>61813</v>
      </c>
    </row>
    <row r="252" spans="1:4">
      <c r="A252" s="172" t="s">
        <v>1637</v>
      </c>
      <c r="B252" s="177">
        <v>1</v>
      </c>
      <c r="C252" s="172">
        <v>36780</v>
      </c>
    </row>
    <row r="253" spans="1:4">
      <c r="A253" s="172" t="s">
        <v>1637</v>
      </c>
      <c r="B253" s="177">
        <v>1</v>
      </c>
      <c r="C253" s="172">
        <v>36780</v>
      </c>
    </row>
    <row r="254" spans="1:4">
      <c r="A254" s="172" t="s">
        <v>1637</v>
      </c>
      <c r="B254" s="177">
        <v>1</v>
      </c>
      <c r="C254" s="172">
        <v>36780</v>
      </c>
    </row>
    <row r="255" spans="1:4">
      <c r="A255" s="180" t="s">
        <v>1638</v>
      </c>
      <c r="B255" s="177">
        <v>0.5</v>
      </c>
      <c r="C255" s="172">
        <v>21776</v>
      </c>
    </row>
    <row r="256" spans="1:4">
      <c r="A256" s="180" t="s">
        <v>1637</v>
      </c>
      <c r="B256" s="177">
        <v>0.2</v>
      </c>
      <c r="C256" s="172">
        <v>24000</v>
      </c>
    </row>
    <row r="257" spans="1:4">
      <c r="A257" s="180" t="s">
        <v>1637</v>
      </c>
      <c r="B257" s="177">
        <v>0.2</v>
      </c>
      <c r="C257" s="172">
        <v>12500</v>
      </c>
    </row>
    <row r="258" spans="1:4" ht="15">
      <c r="A258" s="178" t="s">
        <v>1570</v>
      </c>
      <c r="C258" s="190">
        <f>SUM(C250:C257)</f>
        <v>297581</v>
      </c>
    </row>
    <row r="259" spans="1:4" ht="15">
      <c r="A259" s="213" t="s">
        <v>1605</v>
      </c>
      <c r="B259" s="228"/>
      <c r="C259" s="192">
        <v>35710</v>
      </c>
    </row>
    <row r="260" spans="1:4" ht="15">
      <c r="A260" s="178" t="s">
        <v>1570</v>
      </c>
      <c r="C260" s="190">
        <f>SUM(C258:C259)</f>
        <v>333291</v>
      </c>
    </row>
    <row r="261" spans="1:4" ht="15">
      <c r="A261" s="172" t="s">
        <v>1639</v>
      </c>
      <c r="C261" s="192">
        <v>4100</v>
      </c>
    </row>
    <row r="262" spans="1:4">
      <c r="A262" s="172" t="s">
        <v>1600</v>
      </c>
      <c r="C262" s="172">
        <v>23460</v>
      </c>
      <c r="D262" s="171">
        <v>0.06</v>
      </c>
    </row>
    <row r="263" spans="1:4" ht="15">
      <c r="A263" s="172" t="s">
        <v>1640</v>
      </c>
      <c r="C263" s="192">
        <v>2000</v>
      </c>
    </row>
    <row r="264" spans="1:4" ht="15">
      <c r="A264" s="172" t="s">
        <v>1641</v>
      </c>
      <c r="C264" s="192">
        <v>8500</v>
      </c>
    </row>
    <row r="265" spans="1:4" ht="15">
      <c r="A265" s="192" t="s">
        <v>1642</v>
      </c>
      <c r="B265" s="228"/>
      <c r="C265" s="192">
        <v>525</v>
      </c>
    </row>
    <row r="266" spans="1:4" ht="15">
      <c r="A266" s="192" t="s">
        <v>1435</v>
      </c>
      <c r="B266" s="228"/>
      <c r="C266" s="192">
        <v>11730</v>
      </c>
    </row>
    <row r="267" spans="1:4" ht="15">
      <c r="A267" s="192" t="s">
        <v>1602</v>
      </c>
      <c r="B267" s="228"/>
      <c r="C267" s="192">
        <v>5000</v>
      </c>
    </row>
    <row r="268" spans="1:4">
      <c r="A268" s="172" t="s">
        <v>1151</v>
      </c>
      <c r="C268" s="172">
        <v>2400</v>
      </c>
    </row>
    <row r="269" spans="1:4" ht="15">
      <c r="A269" s="178" t="s">
        <v>1570</v>
      </c>
      <c r="C269" s="190">
        <f>SUM(C261:C268)</f>
        <v>57715</v>
      </c>
    </row>
    <row r="270" spans="1:4" ht="15">
      <c r="A270" s="215" t="s">
        <v>1132</v>
      </c>
      <c r="B270" s="222"/>
      <c r="C270" s="217">
        <f>SUM(C260,C269)</f>
        <v>391006</v>
      </c>
      <c r="D270" s="233"/>
    </row>
    <row r="271" spans="1:4" ht="15">
      <c r="A271" s="221"/>
      <c r="B271" s="181"/>
      <c r="C271" s="194"/>
      <c r="D271" s="180"/>
    </row>
    <row r="272" spans="1:4" ht="15">
      <c r="A272" s="209" t="s">
        <v>1579</v>
      </c>
      <c r="B272" s="210" t="s">
        <v>1596</v>
      </c>
      <c r="C272" s="266" t="s">
        <v>1722</v>
      </c>
      <c r="D272" s="179" t="s">
        <v>252</v>
      </c>
    </row>
    <row r="273" spans="1:4" ht="15">
      <c r="A273" s="231" t="s">
        <v>1590</v>
      </c>
      <c r="D273" s="191"/>
    </row>
    <row r="274" spans="1:4">
      <c r="A274" s="172" t="s">
        <v>1643</v>
      </c>
      <c r="B274" s="212">
        <v>1</v>
      </c>
      <c r="C274" s="172">
        <v>33777</v>
      </c>
    </row>
    <row r="275" spans="1:4">
      <c r="A275" s="172" t="s">
        <v>1643</v>
      </c>
      <c r="B275" s="212">
        <v>1</v>
      </c>
      <c r="C275" s="172">
        <v>33514</v>
      </c>
      <c r="D275" s="191"/>
    </row>
    <row r="276" spans="1:4">
      <c r="A276" s="172" t="s">
        <v>1643</v>
      </c>
      <c r="B276" s="212">
        <v>1</v>
      </c>
      <c r="C276" s="172">
        <v>33777</v>
      </c>
      <c r="D276" s="191"/>
    </row>
    <row r="277" spans="1:4">
      <c r="A277" s="172" t="s">
        <v>1644</v>
      </c>
      <c r="B277" s="212">
        <v>0.6</v>
      </c>
      <c r="C277" s="172">
        <v>13980</v>
      </c>
      <c r="D277" s="191"/>
    </row>
    <row r="278" spans="1:4" ht="15">
      <c r="A278" s="178" t="s">
        <v>1570</v>
      </c>
      <c r="B278" s="212"/>
      <c r="C278" s="190">
        <f>SUM(C274:C277)</f>
        <v>115048</v>
      </c>
    </row>
    <row r="279" spans="1:4" ht="15">
      <c r="A279" s="213" t="s">
        <v>1645</v>
      </c>
      <c r="B279" s="236"/>
      <c r="C279" s="192">
        <v>14956</v>
      </c>
    </row>
    <row r="280" spans="1:4" ht="15">
      <c r="A280" s="178" t="s">
        <v>1570</v>
      </c>
      <c r="B280" s="212"/>
      <c r="C280" s="190">
        <f>SUM(C278:C279)</f>
        <v>130004</v>
      </c>
    </row>
    <row r="281" spans="1:4" ht="15">
      <c r="A281" s="172" t="s">
        <v>1600</v>
      </c>
      <c r="B281" s="212"/>
      <c r="C281" s="192">
        <f>172500*0.08</f>
        <v>13800</v>
      </c>
      <c r="D281" s="237">
        <v>0.08</v>
      </c>
    </row>
    <row r="282" spans="1:4" ht="15">
      <c r="A282" s="192" t="s">
        <v>1640</v>
      </c>
      <c r="B282" s="214"/>
      <c r="C282" s="192">
        <v>5000</v>
      </c>
      <c r="D282" s="238"/>
    </row>
    <row r="283" spans="1:4">
      <c r="A283" s="172" t="s">
        <v>1646</v>
      </c>
      <c r="C283" s="172">
        <v>10050</v>
      </c>
    </row>
    <row r="284" spans="1:4" ht="15">
      <c r="A284" s="172" t="s">
        <v>1435</v>
      </c>
      <c r="C284" s="192">
        <v>7500</v>
      </c>
    </row>
    <row r="285" spans="1:4" ht="15">
      <c r="A285" s="172" t="s">
        <v>1602</v>
      </c>
      <c r="C285" s="192">
        <v>4000</v>
      </c>
    </row>
    <row r="286" spans="1:4">
      <c r="A286" s="172" t="s">
        <v>1151</v>
      </c>
      <c r="C286" s="172">
        <f>2846-700</f>
        <v>2146</v>
      </c>
    </row>
    <row r="287" spans="1:4" ht="15">
      <c r="A287" s="178" t="s">
        <v>1570</v>
      </c>
      <c r="C287" s="190">
        <f>SUM(C281:C286)</f>
        <v>42496</v>
      </c>
    </row>
    <row r="288" spans="1:4" ht="15">
      <c r="A288" s="215" t="s">
        <v>1132</v>
      </c>
      <c r="B288" s="222"/>
      <c r="C288" s="217">
        <f>SUM(C280,C287)</f>
        <v>172500</v>
      </c>
      <c r="D288" s="215"/>
    </row>
    <row r="289" spans="1:4" ht="15">
      <c r="A289" s="206" t="s">
        <v>1647</v>
      </c>
      <c r="B289" s="239"/>
      <c r="C289" s="240"/>
      <c r="D289" s="240"/>
    </row>
    <row r="290" spans="1:4" ht="15">
      <c r="A290" s="194"/>
      <c r="B290" s="220"/>
      <c r="C290" s="241"/>
      <c r="D290" s="241"/>
    </row>
    <row r="291" spans="1:4" ht="15">
      <c r="A291" s="209" t="s">
        <v>1113</v>
      </c>
      <c r="B291" s="210" t="s">
        <v>1596</v>
      </c>
      <c r="C291" s="266" t="s">
        <v>1722</v>
      </c>
      <c r="D291" s="179" t="s">
        <v>252</v>
      </c>
    </row>
    <row r="292" spans="1:4" ht="15">
      <c r="A292" s="231" t="s">
        <v>1590</v>
      </c>
      <c r="B292" s="210"/>
      <c r="C292" s="179"/>
      <c r="D292" s="191"/>
    </row>
    <row r="293" spans="1:4">
      <c r="A293" s="172" t="s">
        <v>1648</v>
      </c>
      <c r="B293" s="212">
        <v>1</v>
      </c>
      <c r="C293" s="172">
        <v>96140</v>
      </c>
    </row>
    <row r="294" spans="1:4" ht="15">
      <c r="A294" s="172" t="s">
        <v>1649</v>
      </c>
      <c r="B294" s="212">
        <v>1</v>
      </c>
      <c r="C294" s="172">
        <v>61672</v>
      </c>
      <c r="D294" s="179"/>
    </row>
    <row r="295" spans="1:4" ht="15">
      <c r="A295" s="172" t="s">
        <v>1650</v>
      </c>
      <c r="B295" s="212">
        <v>1</v>
      </c>
      <c r="C295" s="172">
        <v>54023</v>
      </c>
      <c r="D295" s="179"/>
    </row>
    <row r="296" spans="1:4" ht="15">
      <c r="A296" s="172" t="s">
        <v>1651</v>
      </c>
      <c r="B296" s="212">
        <v>0.25</v>
      </c>
      <c r="C296" s="172">
        <v>6952</v>
      </c>
      <c r="D296" s="179"/>
    </row>
    <row r="297" spans="1:4" ht="15">
      <c r="A297" s="178" t="s">
        <v>1570</v>
      </c>
      <c r="C297" s="190">
        <f>SUM(C293:C296)</f>
        <v>218787</v>
      </c>
    </row>
    <row r="298" spans="1:4" ht="15">
      <c r="A298" s="213" t="s">
        <v>1605</v>
      </c>
      <c r="B298" s="214"/>
      <c r="C298" s="192">
        <v>31234</v>
      </c>
    </row>
    <row r="299" spans="1:4" ht="15">
      <c r="A299" s="178" t="s">
        <v>1570</v>
      </c>
      <c r="B299" s="212"/>
      <c r="C299" s="190">
        <f>SUM(C297:C298)</f>
        <v>250021</v>
      </c>
    </row>
    <row r="300" spans="1:4" ht="15">
      <c r="A300" s="172" t="s">
        <v>1599</v>
      </c>
      <c r="C300" s="192">
        <v>15000</v>
      </c>
    </row>
    <row r="301" spans="1:4" ht="15">
      <c r="A301" s="172" t="s">
        <v>1652</v>
      </c>
      <c r="C301" s="192">
        <v>10000</v>
      </c>
    </row>
    <row r="302" spans="1:4" ht="15">
      <c r="A302" s="172" t="s">
        <v>1159</v>
      </c>
      <c r="C302" s="192">
        <f>6493-104</f>
        <v>6389</v>
      </c>
    </row>
    <row r="303" spans="1:4">
      <c r="A303" s="172" t="s">
        <v>1653</v>
      </c>
      <c r="C303" s="172">
        <v>7000</v>
      </c>
    </row>
    <row r="304" spans="1:4">
      <c r="A304" s="172" t="s">
        <v>1608</v>
      </c>
      <c r="C304" s="172">
        <v>3500</v>
      </c>
    </row>
    <row r="305" spans="1:4" ht="15">
      <c r="A305" s="172" t="s">
        <v>1654</v>
      </c>
      <c r="C305" s="192">
        <f>5000+15000</f>
        <v>20000</v>
      </c>
    </row>
    <row r="306" spans="1:4" ht="15">
      <c r="A306" s="172" t="s">
        <v>1655</v>
      </c>
      <c r="C306" s="192">
        <v>4000</v>
      </c>
    </row>
    <row r="307" spans="1:4" ht="15">
      <c r="A307" s="192" t="s">
        <v>1656</v>
      </c>
      <c r="B307" s="228"/>
      <c r="C307" s="192">
        <v>13000</v>
      </c>
    </row>
    <row r="308" spans="1:4" ht="15">
      <c r="A308" s="172" t="s">
        <v>1657</v>
      </c>
      <c r="C308" s="192">
        <v>2000</v>
      </c>
    </row>
    <row r="309" spans="1:4" ht="15">
      <c r="A309" s="172" t="s">
        <v>1658</v>
      </c>
      <c r="C309" s="192">
        <v>10000</v>
      </c>
    </row>
    <row r="310" spans="1:4" ht="15">
      <c r="A310" s="172" t="s">
        <v>1659</v>
      </c>
      <c r="C310" s="192">
        <v>10933</v>
      </c>
    </row>
    <row r="311" spans="1:4" ht="15">
      <c r="A311" s="172" t="s">
        <v>1660</v>
      </c>
      <c r="C311" s="192">
        <v>2500</v>
      </c>
    </row>
    <row r="312" spans="1:4" ht="15">
      <c r="A312" s="172" t="s">
        <v>1613</v>
      </c>
      <c r="C312" s="192">
        <v>1000</v>
      </c>
    </row>
    <row r="313" spans="1:4" ht="15">
      <c r="A313" s="172" t="s">
        <v>1661</v>
      </c>
      <c r="C313" s="192">
        <v>2500</v>
      </c>
    </row>
    <row r="314" spans="1:4" ht="15">
      <c r="A314" s="172" t="s">
        <v>1662</v>
      </c>
      <c r="C314" s="192">
        <v>11432</v>
      </c>
    </row>
    <row r="315" spans="1:4" ht="15">
      <c r="A315" s="172" t="s">
        <v>1663</v>
      </c>
      <c r="C315" s="192">
        <v>25500</v>
      </c>
    </row>
    <row r="316" spans="1:4" ht="15">
      <c r="A316" s="172" t="s">
        <v>1151</v>
      </c>
      <c r="C316" s="192">
        <v>13000</v>
      </c>
    </row>
    <row r="317" spans="1:4" ht="15">
      <c r="A317" s="172" t="s">
        <v>1435</v>
      </c>
      <c r="C317" s="192">
        <v>15000</v>
      </c>
    </row>
    <row r="318" spans="1:4" ht="15">
      <c r="A318" s="172" t="s">
        <v>1602</v>
      </c>
      <c r="C318" s="192">
        <v>10000</v>
      </c>
    </row>
    <row r="319" spans="1:4" ht="15">
      <c r="A319" s="178" t="s">
        <v>1570</v>
      </c>
      <c r="C319" s="190">
        <f>SUM(C300:C318)</f>
        <v>182754</v>
      </c>
    </row>
    <row r="320" spans="1:4" ht="15">
      <c r="A320" s="215" t="s">
        <v>1132</v>
      </c>
      <c r="B320" s="222"/>
      <c r="C320" s="217">
        <f>SUM(C299,C319)</f>
        <v>432775</v>
      </c>
      <c r="D320" s="233"/>
    </row>
    <row r="322" spans="1:4" ht="15">
      <c r="A322" s="209" t="s">
        <v>1664</v>
      </c>
      <c r="B322" s="210" t="s">
        <v>1596</v>
      </c>
      <c r="C322" s="266" t="s">
        <v>1722</v>
      </c>
      <c r="D322" s="179" t="s">
        <v>252</v>
      </c>
    </row>
    <row r="323" spans="1:4" ht="15">
      <c r="A323" s="231" t="s">
        <v>1590</v>
      </c>
      <c r="B323" s="210"/>
      <c r="C323" s="179"/>
      <c r="D323" s="191"/>
    </row>
    <row r="324" spans="1:4">
      <c r="A324" s="172" t="s">
        <v>1665</v>
      </c>
      <c r="B324" s="212">
        <v>0.7</v>
      </c>
      <c r="C324" s="172">
        <v>23777</v>
      </c>
    </row>
    <row r="325" spans="1:4" ht="15">
      <c r="A325" s="221" t="s">
        <v>1570</v>
      </c>
      <c r="B325" s="224"/>
      <c r="C325" s="190">
        <f>SUM(C324:C324)</f>
        <v>23777</v>
      </c>
      <c r="D325" s="180"/>
    </row>
    <row r="326" spans="1:4" ht="15">
      <c r="A326" s="213" t="s">
        <v>1605</v>
      </c>
      <c r="B326" s="242"/>
      <c r="C326" s="192">
        <v>2853</v>
      </c>
      <c r="D326" s="180"/>
    </row>
    <row r="327" spans="1:4" ht="15">
      <c r="A327" s="178" t="s">
        <v>1570</v>
      </c>
      <c r="B327" s="181"/>
      <c r="C327" s="194">
        <f>SUM(C325:C326)</f>
        <v>26630</v>
      </c>
      <c r="D327" s="180"/>
    </row>
    <row r="328" spans="1:4">
      <c r="A328" s="180" t="s">
        <v>1666</v>
      </c>
      <c r="B328" s="181"/>
      <c r="C328" s="180">
        <v>12000</v>
      </c>
      <c r="D328" s="180"/>
    </row>
    <row r="329" spans="1:4">
      <c r="A329" s="180" t="s">
        <v>1435</v>
      </c>
      <c r="B329" s="181"/>
      <c r="C329" s="180">
        <v>1000</v>
      </c>
      <c r="D329" s="180"/>
    </row>
    <row r="330" spans="1:4" ht="15">
      <c r="A330" s="183" t="s">
        <v>1667</v>
      </c>
      <c r="B330" s="242"/>
      <c r="C330" s="183">
        <v>2134</v>
      </c>
      <c r="D330" s="180"/>
    </row>
    <row r="331" spans="1:4" ht="15">
      <c r="A331" s="221" t="s">
        <v>1570</v>
      </c>
      <c r="B331" s="181"/>
      <c r="C331" s="194">
        <f>SUM(C328:C330)</f>
        <v>15134</v>
      </c>
      <c r="D331" s="180"/>
    </row>
    <row r="332" spans="1:4" ht="15">
      <c r="A332" s="215" t="s">
        <v>1132</v>
      </c>
      <c r="B332" s="222"/>
      <c r="C332" s="217">
        <f>SUM(C327,C331)</f>
        <v>41764</v>
      </c>
      <c r="D332" s="233"/>
    </row>
    <row r="333" spans="1:4" ht="15">
      <c r="A333" s="206" t="s">
        <v>1668</v>
      </c>
      <c r="B333" s="239"/>
      <c r="C333" s="240"/>
      <c r="D333" s="240"/>
    </row>
    <row r="334" spans="1:4" s="180" customFormat="1" ht="15">
      <c r="A334" s="221"/>
      <c r="B334" s="181"/>
      <c r="C334" s="194"/>
    </row>
    <row r="335" spans="1:4" s="180" customFormat="1" ht="15">
      <c r="A335" s="209" t="s">
        <v>1669</v>
      </c>
      <c r="B335" s="210" t="s">
        <v>1596</v>
      </c>
      <c r="C335" s="266" t="s">
        <v>1722</v>
      </c>
      <c r="D335" s="179" t="s">
        <v>252</v>
      </c>
    </row>
    <row r="336" spans="1:4" s="180" customFormat="1" ht="15">
      <c r="A336" s="231" t="s">
        <v>1590</v>
      </c>
      <c r="B336" s="181"/>
      <c r="C336" s="194"/>
    </row>
    <row r="337" spans="1:3" s="180" customFormat="1">
      <c r="A337" s="225" t="s">
        <v>1670</v>
      </c>
      <c r="B337" s="212">
        <v>1</v>
      </c>
      <c r="C337" s="180">
        <v>280000</v>
      </c>
    </row>
    <row r="338" spans="1:3" s="180" customFormat="1">
      <c r="A338" s="225" t="s">
        <v>1671</v>
      </c>
      <c r="B338" s="212">
        <v>1</v>
      </c>
      <c r="C338" s="180">
        <v>0</v>
      </c>
    </row>
    <row r="339" spans="1:3" s="180" customFormat="1">
      <c r="A339" s="225" t="s">
        <v>1672</v>
      </c>
      <c r="B339" s="212">
        <v>1</v>
      </c>
      <c r="C339" s="180">
        <v>0</v>
      </c>
    </row>
    <row r="340" spans="1:3" s="180" customFormat="1">
      <c r="A340" s="225" t="s">
        <v>1672</v>
      </c>
      <c r="B340" s="212">
        <v>1</v>
      </c>
      <c r="C340" s="180">
        <v>0</v>
      </c>
    </row>
    <row r="341" spans="1:3" s="180" customFormat="1">
      <c r="A341" s="225" t="s">
        <v>1672</v>
      </c>
      <c r="B341" s="212">
        <v>1</v>
      </c>
      <c r="C341" s="180">
        <v>0</v>
      </c>
    </row>
    <row r="342" spans="1:3" s="180" customFormat="1">
      <c r="A342" s="225" t="s">
        <v>1673</v>
      </c>
      <c r="B342" s="212"/>
      <c r="C342" s="180">
        <v>0</v>
      </c>
    </row>
    <row r="343" spans="1:3" s="180" customFormat="1" ht="15">
      <c r="A343" s="221" t="s">
        <v>1570</v>
      </c>
      <c r="B343" s="181"/>
      <c r="C343" s="194">
        <f>C341+C340+C339+C338+C337</f>
        <v>280000</v>
      </c>
    </row>
    <row r="344" spans="1:3" s="180" customFormat="1">
      <c r="A344" s="225" t="s">
        <v>1674</v>
      </c>
      <c r="B344" s="181"/>
      <c r="C344" s="180">
        <v>0</v>
      </c>
    </row>
    <row r="345" spans="1:3" s="180" customFormat="1" ht="15">
      <c r="A345" s="221" t="s">
        <v>1570</v>
      </c>
      <c r="B345" s="181"/>
      <c r="C345" s="194">
        <f>C343+C344</f>
        <v>280000</v>
      </c>
    </row>
    <row r="346" spans="1:3" s="180" customFormat="1">
      <c r="A346" s="225" t="s">
        <v>1675</v>
      </c>
      <c r="B346" s="181"/>
      <c r="C346" s="180">
        <v>50000</v>
      </c>
    </row>
    <row r="347" spans="1:3" s="180" customFormat="1">
      <c r="A347" s="225" t="s">
        <v>1676</v>
      </c>
      <c r="B347" s="181"/>
      <c r="C347" s="180">
        <v>55000</v>
      </c>
    </row>
    <row r="348" spans="1:3" s="180" customFormat="1">
      <c r="A348" s="225" t="s">
        <v>1677</v>
      </c>
      <c r="B348" s="181"/>
      <c r="C348" s="180">
        <v>25000</v>
      </c>
    </row>
    <row r="349" spans="1:3" s="180" customFormat="1">
      <c r="A349" s="225" t="s">
        <v>1600</v>
      </c>
      <c r="B349" s="181"/>
      <c r="C349" s="180">
        <v>27925</v>
      </c>
    </row>
    <row r="350" spans="1:3" s="180" customFormat="1">
      <c r="A350" s="225" t="s">
        <v>1159</v>
      </c>
      <c r="B350" s="181"/>
      <c r="C350" s="180">
        <v>7500</v>
      </c>
    </row>
    <row r="351" spans="1:3" s="180" customFormat="1">
      <c r="A351" s="225" t="s">
        <v>1678</v>
      </c>
      <c r="B351" s="181"/>
      <c r="C351" s="180">
        <v>15000</v>
      </c>
    </row>
    <row r="352" spans="1:3" s="180" customFormat="1">
      <c r="A352" s="225" t="s">
        <v>1679</v>
      </c>
      <c r="B352" s="181"/>
      <c r="C352" s="180">
        <v>126000</v>
      </c>
    </row>
    <row r="353" spans="1:4" s="180" customFormat="1" ht="15">
      <c r="A353" s="221" t="s">
        <v>1570</v>
      </c>
      <c r="B353" s="181"/>
      <c r="C353" s="194">
        <f>C352+C351+C350+C349+C348+C347+C346</f>
        <v>306425</v>
      </c>
    </row>
    <row r="354" spans="1:4" ht="15">
      <c r="A354" s="215" t="s">
        <v>1680</v>
      </c>
      <c r="B354" s="222"/>
      <c r="C354" s="217">
        <f>C345+C353</f>
        <v>586425</v>
      </c>
      <c r="D354" s="233"/>
    </row>
    <row r="355" spans="1:4" s="180" customFormat="1" ht="15">
      <c r="A355" s="221"/>
      <c r="B355" s="181"/>
      <c r="C355" s="194"/>
    </row>
    <row r="356" spans="1:4" s="180" customFormat="1" ht="15">
      <c r="A356" s="209" t="s">
        <v>1726</v>
      </c>
      <c r="B356" s="210" t="s">
        <v>1596</v>
      </c>
      <c r="C356" s="266" t="s">
        <v>1722</v>
      </c>
      <c r="D356" s="179" t="s">
        <v>252</v>
      </c>
    </row>
    <row r="357" spans="1:4" s="180" customFormat="1" ht="15">
      <c r="A357" s="231" t="s">
        <v>1590</v>
      </c>
      <c r="B357" s="181"/>
      <c r="C357" s="194"/>
    </row>
    <row r="358" spans="1:4" s="180" customFormat="1">
      <c r="A358" s="225" t="s">
        <v>1727</v>
      </c>
      <c r="B358" s="181">
        <v>1</v>
      </c>
      <c r="C358" s="180">
        <v>106609</v>
      </c>
    </row>
    <row r="359" spans="1:4" s="180" customFormat="1">
      <c r="A359" s="225" t="s">
        <v>1728</v>
      </c>
      <c r="B359" s="181">
        <v>1</v>
      </c>
      <c r="C359" s="180">
        <v>91737</v>
      </c>
    </row>
    <row r="360" spans="1:4" s="180" customFormat="1">
      <c r="A360" s="225" t="s">
        <v>1729</v>
      </c>
      <c r="B360" s="181">
        <v>1</v>
      </c>
      <c r="C360" s="180">
        <v>219414</v>
      </c>
    </row>
    <row r="361" spans="1:4" s="180" customFormat="1">
      <c r="A361" s="225" t="s">
        <v>1730</v>
      </c>
      <c r="B361" s="181">
        <v>0.5</v>
      </c>
      <c r="C361" s="180">
        <v>186471</v>
      </c>
    </row>
    <row r="362" spans="1:4" s="180" customFormat="1">
      <c r="A362" s="225" t="s">
        <v>1731</v>
      </c>
      <c r="B362" s="181">
        <v>1</v>
      </c>
      <c r="C362" s="180">
        <v>40000</v>
      </c>
    </row>
    <row r="363" spans="1:4" s="180" customFormat="1" ht="15">
      <c r="A363" s="221" t="s">
        <v>1570</v>
      </c>
      <c r="B363" s="181"/>
      <c r="C363" s="194">
        <f>SUM(C358:C362)</f>
        <v>644231</v>
      </c>
    </row>
    <row r="364" spans="1:4" s="180" customFormat="1">
      <c r="A364" s="225" t="s">
        <v>1732</v>
      </c>
      <c r="B364" s="181"/>
      <c r="C364" s="180">
        <v>0</v>
      </c>
    </row>
    <row r="365" spans="1:4" s="180" customFormat="1" ht="15">
      <c r="A365" s="221" t="s">
        <v>1570</v>
      </c>
      <c r="B365" s="181"/>
      <c r="C365" s="194">
        <f>C363+C364</f>
        <v>644231</v>
      </c>
    </row>
    <row r="366" spans="1:4" s="180" customFormat="1">
      <c r="A366" s="225" t="s">
        <v>1733</v>
      </c>
      <c r="B366" s="181"/>
      <c r="C366" s="180">
        <v>50000</v>
      </c>
    </row>
    <row r="367" spans="1:4" s="180" customFormat="1">
      <c r="A367" s="225" t="s">
        <v>1435</v>
      </c>
      <c r="B367" s="181"/>
      <c r="C367" s="180">
        <v>21600</v>
      </c>
    </row>
    <row r="368" spans="1:4" s="180" customFormat="1">
      <c r="A368" s="225" t="s">
        <v>1734</v>
      </c>
      <c r="B368" s="181"/>
      <c r="C368" s="180">
        <v>8000</v>
      </c>
      <c r="D368" s="180" t="s">
        <v>1735</v>
      </c>
    </row>
    <row r="369" spans="1:4" s="180" customFormat="1">
      <c r="A369" s="225" t="s">
        <v>1736</v>
      </c>
      <c r="B369" s="181"/>
      <c r="C369" s="180">
        <v>35000</v>
      </c>
    </row>
    <row r="370" spans="1:4" s="180" customFormat="1">
      <c r="A370" s="225" t="s">
        <v>1737</v>
      </c>
      <c r="B370" s="181"/>
      <c r="C370" s="180">
        <v>21000</v>
      </c>
    </row>
    <row r="371" spans="1:4" s="180" customFormat="1">
      <c r="A371" s="225" t="s">
        <v>1600</v>
      </c>
      <c r="B371" s="181"/>
      <c r="C371" s="180">
        <v>77983</v>
      </c>
    </row>
    <row r="372" spans="1:4" s="180" customFormat="1" ht="15">
      <c r="A372" s="221" t="s">
        <v>1738</v>
      </c>
      <c r="B372" s="181"/>
      <c r="C372" s="194">
        <f>SUM(C366:C371)</f>
        <v>213583</v>
      </c>
    </row>
    <row r="373" spans="1:4" s="180" customFormat="1" ht="15">
      <c r="A373" s="215" t="s">
        <v>1680</v>
      </c>
      <c r="B373" s="181"/>
      <c r="C373" s="194">
        <f>C365+C372</f>
        <v>857814</v>
      </c>
    </row>
    <row r="374" spans="1:4" s="180" customFormat="1" ht="15">
      <c r="A374" s="221"/>
      <c r="B374" s="181"/>
      <c r="C374" s="194"/>
    </row>
    <row r="375" spans="1:4" ht="15">
      <c r="A375" s="206" t="s">
        <v>1681</v>
      </c>
      <c r="B375" s="239"/>
      <c r="C375" s="240"/>
      <c r="D375" s="240"/>
    </row>
    <row r="376" spans="1:4" s="180" customFormat="1" ht="15">
      <c r="A376" s="225"/>
      <c r="B376" s="181"/>
      <c r="C376" s="194"/>
    </row>
    <row r="377" spans="1:4" s="180" customFormat="1" ht="15">
      <c r="A377" s="209" t="s">
        <v>1588</v>
      </c>
      <c r="B377" s="210" t="s">
        <v>1596</v>
      </c>
      <c r="C377" s="266" t="s">
        <v>1722</v>
      </c>
      <c r="D377" s="179" t="s">
        <v>252</v>
      </c>
    </row>
    <row r="378" spans="1:4" s="180" customFormat="1" ht="15">
      <c r="A378" s="231" t="s">
        <v>1590</v>
      </c>
      <c r="B378" s="181"/>
      <c r="C378" s="194"/>
    </row>
    <row r="379" spans="1:4" s="180" customFormat="1">
      <c r="A379" s="225" t="s">
        <v>1682</v>
      </c>
      <c r="B379" s="212">
        <v>1</v>
      </c>
      <c r="C379" s="180">
        <v>33777</v>
      </c>
    </row>
    <row r="380" spans="1:4" s="180" customFormat="1">
      <c r="A380" s="225" t="s">
        <v>1484</v>
      </c>
      <c r="B380" s="212">
        <v>0.5</v>
      </c>
      <c r="C380" s="180">
        <v>19492</v>
      </c>
    </row>
    <row r="381" spans="1:4" s="180" customFormat="1" ht="15">
      <c r="A381" s="221" t="s">
        <v>1683</v>
      </c>
      <c r="B381" s="181"/>
      <c r="C381" s="194">
        <f>C380+C379</f>
        <v>53269</v>
      </c>
    </row>
    <row r="382" spans="1:4" s="180" customFormat="1">
      <c r="A382" s="225" t="s">
        <v>1605</v>
      </c>
      <c r="B382" s="181"/>
      <c r="C382" s="180">
        <v>6392</v>
      </c>
    </row>
    <row r="383" spans="1:4" s="180" customFormat="1" ht="15">
      <c r="A383" s="221" t="s">
        <v>1683</v>
      </c>
      <c r="B383" s="181"/>
      <c r="C383" s="194">
        <f>C382+C381</f>
        <v>59661</v>
      </c>
    </row>
    <row r="384" spans="1:4" s="180" customFormat="1">
      <c r="A384" s="225" t="s">
        <v>1684</v>
      </c>
      <c r="B384" s="181"/>
      <c r="C384" s="180">
        <v>15000</v>
      </c>
    </row>
    <row r="385" spans="1:4" s="180" customFormat="1">
      <c r="A385" s="225" t="s">
        <v>1685</v>
      </c>
      <c r="B385" s="181"/>
      <c r="C385" s="180">
        <v>6000</v>
      </c>
    </row>
    <row r="386" spans="1:4" s="180" customFormat="1">
      <c r="A386" s="225" t="s">
        <v>1686</v>
      </c>
      <c r="B386" s="181"/>
      <c r="C386" s="180">
        <v>1200</v>
      </c>
    </row>
    <row r="387" spans="1:4" s="180" customFormat="1">
      <c r="A387" s="225" t="s">
        <v>1151</v>
      </c>
      <c r="B387" s="181"/>
      <c r="C387" s="180">
        <v>5000</v>
      </c>
    </row>
    <row r="388" spans="1:4" s="180" customFormat="1" ht="15">
      <c r="A388" s="221" t="s">
        <v>1683</v>
      </c>
      <c r="B388" s="181"/>
      <c r="C388" s="194">
        <f>C387+C386+C385+C384</f>
        <v>27200</v>
      </c>
    </row>
    <row r="389" spans="1:4" ht="15">
      <c r="A389" s="215" t="s">
        <v>1680</v>
      </c>
      <c r="B389" s="222"/>
      <c r="C389" s="217">
        <f>C383+C388</f>
        <v>86861</v>
      </c>
      <c r="D389" s="233"/>
    </row>
    <row r="390" spans="1:4" s="180" customFormat="1" ht="15">
      <c r="A390" s="225"/>
      <c r="B390" s="181"/>
      <c r="C390" s="194"/>
    </row>
    <row r="391" spans="1:4" ht="15">
      <c r="A391" s="173" t="s">
        <v>1593</v>
      </c>
      <c r="B391" s="174"/>
      <c r="C391" s="173">
        <f>C389+C354+C332+C320+C288+C270+C245+C230+C223+C209+C191+C176+C160+C145+C129+C115+C109+C373</f>
        <v>3386851.9</v>
      </c>
      <c r="D391" s="175"/>
    </row>
    <row r="392" spans="1:4" ht="15">
      <c r="A392" s="190"/>
    </row>
    <row r="393" spans="1:4" ht="15">
      <c r="A393" s="190"/>
    </row>
  </sheetData>
  <mergeCells count="6">
    <mergeCell ref="D38:D39"/>
    <mergeCell ref="D7:D8"/>
    <mergeCell ref="D10:D11"/>
    <mergeCell ref="D16:D17"/>
    <mergeCell ref="D30:D31"/>
    <mergeCell ref="D32:D33"/>
  </mergeCells>
  <pageMargins left="0.7" right="0.7" top="0.75" bottom="0.75" header="0.3" footer="0.3"/>
  <pageSetup orientation="portrait" horizontalDpi="4294967293" vertic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zoomScale="150" zoomScaleNormal="150" workbookViewId="0">
      <selection activeCell="B12" sqref="B12"/>
    </sheetView>
  </sheetViews>
  <sheetFormatPr defaultRowHeight="12.75"/>
  <cols>
    <col min="1" max="1" width="12.7109375" bestFit="1" customWidth="1"/>
    <col min="2" max="2" width="15.5703125" bestFit="1" customWidth="1"/>
    <col min="3" max="3" width="12" bestFit="1" customWidth="1"/>
    <col min="4" max="5" width="11.7109375" bestFit="1" customWidth="1"/>
    <col min="6" max="6" width="15.5703125" bestFit="1" customWidth="1"/>
    <col min="7" max="7" width="17" bestFit="1" customWidth="1"/>
    <col min="8" max="8" width="7.7109375" bestFit="1" customWidth="1"/>
    <col min="9" max="9" width="12.42578125" bestFit="1" customWidth="1"/>
    <col min="10" max="10" width="10.7109375" style="66" bestFit="1" customWidth="1"/>
    <col min="11" max="11" width="11.7109375" style="65" bestFit="1" customWidth="1"/>
  </cols>
  <sheetData>
    <row r="1" spans="1:13">
      <c r="A1" t="s">
        <v>1047</v>
      </c>
    </row>
    <row r="2" spans="1:13">
      <c r="C2" t="s">
        <v>1057</v>
      </c>
      <c r="H2" s="22"/>
      <c r="I2" s="22" t="s">
        <v>1791</v>
      </c>
      <c r="J2" s="59" t="s">
        <v>1790</v>
      </c>
      <c r="K2" s="86" t="s">
        <v>56</v>
      </c>
      <c r="M2" t="s">
        <v>1795</v>
      </c>
    </row>
    <row r="3" spans="1:13" s="17" customFormat="1">
      <c r="A3" s="17" t="s">
        <v>1048</v>
      </c>
      <c r="B3" s="17" t="s">
        <v>1049</v>
      </c>
      <c r="C3" s="17" t="s">
        <v>1052</v>
      </c>
      <c r="D3" s="17" t="s">
        <v>1053</v>
      </c>
      <c r="E3" s="17" t="s">
        <v>1076</v>
      </c>
      <c r="F3" s="17" t="s">
        <v>1059</v>
      </c>
      <c r="G3" s="17" t="s">
        <v>1079</v>
      </c>
      <c r="H3" s="17" t="s">
        <v>1051</v>
      </c>
      <c r="J3" s="88"/>
      <c r="K3" s="86" t="s">
        <v>1063</v>
      </c>
    </row>
    <row r="4" spans="1:13">
      <c r="A4">
        <v>1</v>
      </c>
      <c r="B4" t="s">
        <v>1050</v>
      </c>
      <c r="C4" s="66">
        <v>1000000</v>
      </c>
      <c r="D4" s="78">
        <v>4.2000000000000003E-2</v>
      </c>
      <c r="E4" s="66">
        <f>C4*D4</f>
        <v>42000</v>
      </c>
      <c r="F4" s="66">
        <f t="shared" ref="F4:F9" si="0">E4/12</f>
        <v>3500</v>
      </c>
      <c r="G4" s="66">
        <v>0</v>
      </c>
      <c r="H4" t="s">
        <v>152</v>
      </c>
      <c r="I4" s="66"/>
    </row>
    <row r="5" spans="1:13">
      <c r="A5">
        <v>16</v>
      </c>
      <c r="B5" t="s">
        <v>1054</v>
      </c>
      <c r="C5" s="66">
        <v>100000</v>
      </c>
      <c r="D5" s="78">
        <f>D4</f>
        <v>4.2000000000000003E-2</v>
      </c>
      <c r="E5" s="66">
        <f>C5*D5</f>
        <v>4200</v>
      </c>
      <c r="F5" s="66">
        <f t="shared" si="0"/>
        <v>350</v>
      </c>
      <c r="G5" s="66">
        <v>0</v>
      </c>
      <c r="H5" t="s">
        <v>657</v>
      </c>
      <c r="I5" s="66"/>
    </row>
    <row r="6" spans="1:13">
      <c r="A6">
        <v>52</v>
      </c>
      <c r="B6" t="s">
        <v>1877</v>
      </c>
      <c r="C6">
        <v>0</v>
      </c>
      <c r="D6" s="78">
        <f>D5</f>
        <v>4.2000000000000003E-2</v>
      </c>
      <c r="E6" s="66">
        <f>C6*D6</f>
        <v>0</v>
      </c>
      <c r="F6" s="66">
        <f t="shared" si="0"/>
        <v>0</v>
      </c>
      <c r="G6">
        <v>1353.89</v>
      </c>
      <c r="H6" t="s">
        <v>234</v>
      </c>
      <c r="I6" s="66"/>
    </row>
    <row r="7" spans="1:13">
      <c r="A7">
        <v>49</v>
      </c>
      <c r="B7" t="s">
        <v>1056</v>
      </c>
      <c r="C7">
        <v>0</v>
      </c>
      <c r="D7" s="78">
        <f>D6</f>
        <v>4.2000000000000003E-2</v>
      </c>
      <c r="E7" s="66">
        <f>D7*C7</f>
        <v>0</v>
      </c>
      <c r="F7">
        <f t="shared" si="0"/>
        <v>0</v>
      </c>
      <c r="G7" s="66">
        <v>3333.35</v>
      </c>
      <c r="H7" t="s">
        <v>532</v>
      </c>
      <c r="I7" s="66"/>
    </row>
    <row r="8" spans="1:13">
      <c r="A8">
        <v>57</v>
      </c>
      <c r="B8" t="s">
        <v>1061</v>
      </c>
      <c r="C8" s="82">
        <v>425924.33</v>
      </c>
      <c r="D8" s="78">
        <f>D7</f>
        <v>4.2000000000000003E-2</v>
      </c>
      <c r="E8" s="66">
        <f>C8*D8</f>
        <v>17888.82186</v>
      </c>
      <c r="F8" s="66">
        <f t="shared" si="0"/>
        <v>1490.7351550000001</v>
      </c>
      <c r="G8" s="66">
        <v>21144.720000000001</v>
      </c>
      <c r="H8" t="s">
        <v>1008</v>
      </c>
      <c r="I8" s="66">
        <f>C8-G8</f>
        <v>404779.61</v>
      </c>
      <c r="J8" s="66">
        <f>SUM(C20:C24)</f>
        <v>15928.917924944071</v>
      </c>
      <c r="K8" s="65">
        <f>SUM(D20:D23)</f>
        <v>68649.962075055926</v>
      </c>
      <c r="M8" t="s">
        <v>1797</v>
      </c>
    </row>
    <row r="9" spans="1:13">
      <c r="A9">
        <v>61</v>
      </c>
      <c r="B9" t="s">
        <v>1067</v>
      </c>
      <c r="C9">
        <v>205624.17</v>
      </c>
      <c r="D9" s="78">
        <f>D8</f>
        <v>4.2000000000000003E-2</v>
      </c>
      <c r="E9" s="66">
        <f>C9*D9</f>
        <v>8636.2151400000002</v>
      </c>
      <c r="F9" s="83">
        <f t="shared" si="0"/>
        <v>719.68459500000006</v>
      </c>
      <c r="G9">
        <v>1958.61</v>
      </c>
      <c r="H9" t="str">
        <f>H4</f>
        <v>5060-01</v>
      </c>
      <c r="I9" s="66">
        <f t="shared" ref="I9" si="1">C9-G9</f>
        <v>203665.56000000003</v>
      </c>
      <c r="J9" s="66">
        <f>SUM(C27:C38)</f>
        <v>6935.8339241466765</v>
      </c>
      <c r="K9" s="65">
        <f>G9*12</f>
        <v>23503.32</v>
      </c>
      <c r="M9" t="s">
        <v>1797</v>
      </c>
    </row>
    <row r="10" spans="1:13">
      <c r="B10" t="s">
        <v>1075</v>
      </c>
      <c r="C10">
        <v>3600000</v>
      </c>
      <c r="D10" s="78">
        <v>3.95E-2</v>
      </c>
      <c r="E10" s="66">
        <v>217869</v>
      </c>
      <c r="F10" s="66">
        <f>C10*D10/12</f>
        <v>11850</v>
      </c>
      <c r="G10" s="79">
        <f>18155.68-F10</f>
        <v>6305.68</v>
      </c>
      <c r="H10" t="s">
        <v>152</v>
      </c>
      <c r="I10" s="66">
        <f>C10</f>
        <v>3600000</v>
      </c>
      <c r="J10" s="66">
        <f>F10*12</f>
        <v>142200</v>
      </c>
      <c r="K10" s="65">
        <f>E10-J10</f>
        <v>75669</v>
      </c>
      <c r="M10" t="s">
        <v>1797</v>
      </c>
    </row>
    <row r="11" spans="1:13">
      <c r="B11" t="s">
        <v>1077</v>
      </c>
      <c r="G11" s="80"/>
      <c r="H11" t="s">
        <v>1071</v>
      </c>
      <c r="I11" s="66"/>
      <c r="K11" s="65">
        <v>836200</v>
      </c>
      <c r="M11" t="s">
        <v>1077</v>
      </c>
    </row>
    <row r="12" spans="1:13">
      <c r="B12" t="s">
        <v>1094</v>
      </c>
      <c r="C12">
        <f>503630.02-(2717.21*2)</f>
        <v>498195.60000000003</v>
      </c>
      <c r="D12" s="78">
        <v>0.04</v>
      </c>
      <c r="E12">
        <v>4441.7</v>
      </c>
      <c r="F12">
        <v>1724.49</v>
      </c>
      <c r="G12" s="79">
        <v>2717.21</v>
      </c>
      <c r="H12" t="s">
        <v>700</v>
      </c>
      <c r="I12" s="66">
        <f>E42</f>
        <v>464823.02400000003</v>
      </c>
      <c r="J12" s="66">
        <f>C43</f>
        <v>18592.920960000003</v>
      </c>
      <c r="K12" s="65">
        <f>D43</f>
        <v>34707.479039999991</v>
      </c>
      <c r="M12" t="s">
        <v>1797</v>
      </c>
    </row>
    <row r="13" spans="1:13">
      <c r="B13" t="s">
        <v>1097</v>
      </c>
      <c r="C13">
        <f>254846.37-(2*4900.9)</f>
        <v>245044.57</v>
      </c>
      <c r="D13" s="78">
        <v>0.04</v>
      </c>
      <c r="E13">
        <v>5794.91</v>
      </c>
      <c r="F13">
        <v>894.01</v>
      </c>
      <c r="G13" s="79">
        <v>4900.8999999999996</v>
      </c>
      <c r="H13" t="s">
        <v>971</v>
      </c>
      <c r="I13" s="66">
        <f>A58</f>
        <v>185307.43280000001</v>
      </c>
      <c r="J13" s="66">
        <f>C58</f>
        <v>7412.2973120000006</v>
      </c>
      <c r="K13" s="65">
        <f>D58</f>
        <v>62126.622687999996</v>
      </c>
      <c r="M13" t="s">
        <v>1796</v>
      </c>
    </row>
    <row r="14" spans="1:13">
      <c r="B14" t="s">
        <v>1792</v>
      </c>
      <c r="C14">
        <v>630000</v>
      </c>
      <c r="D14" s="78">
        <v>3.4000000000000002E-2</v>
      </c>
      <c r="E14">
        <v>2888.51</v>
      </c>
      <c r="F14">
        <f>D14*C14/12</f>
        <v>1785</v>
      </c>
      <c r="G14">
        <f>E14-F14</f>
        <v>1103.5100000000002</v>
      </c>
      <c r="I14" s="66">
        <f>C14</f>
        <v>630000</v>
      </c>
      <c r="J14" s="66">
        <f t="shared" ref="J14:K16" si="2">F14*12</f>
        <v>21420</v>
      </c>
      <c r="K14" s="65">
        <f t="shared" si="2"/>
        <v>13242.120000000003</v>
      </c>
      <c r="M14" t="s">
        <v>1797</v>
      </c>
    </row>
    <row r="15" spans="1:13">
      <c r="B15" t="s">
        <v>1793</v>
      </c>
      <c r="C15">
        <v>46666</v>
      </c>
      <c r="D15" s="303">
        <v>4.2000000000000003E-2</v>
      </c>
      <c r="E15" s="80">
        <f>F15+G15</f>
        <v>996.67100000000005</v>
      </c>
      <c r="F15" s="65">
        <f>C15*D15/12</f>
        <v>163.33100000000002</v>
      </c>
      <c r="G15">
        <f>833.34</f>
        <v>833.34</v>
      </c>
      <c r="I15">
        <f>C15-G15</f>
        <v>45832.66</v>
      </c>
      <c r="J15" s="66">
        <f t="shared" si="2"/>
        <v>1959.9720000000002</v>
      </c>
      <c r="K15" s="65">
        <f t="shared" si="2"/>
        <v>10000.08</v>
      </c>
      <c r="M15" t="s">
        <v>1797</v>
      </c>
    </row>
    <row r="16" spans="1:13">
      <c r="B16" t="s">
        <v>1794</v>
      </c>
      <c r="C16">
        <v>167290</v>
      </c>
      <c r="D16" s="303">
        <v>4.2000000000000003E-2</v>
      </c>
      <c r="E16" s="80">
        <f>F16+G16</f>
        <v>3627.5149999999999</v>
      </c>
      <c r="F16">
        <f>C16*D16/12</f>
        <v>585.51499999999999</v>
      </c>
      <c r="G16">
        <f>3042</f>
        <v>3042</v>
      </c>
      <c r="I16">
        <f>C16-G16</f>
        <v>164248</v>
      </c>
      <c r="J16" s="66">
        <f t="shared" si="2"/>
        <v>7026.18</v>
      </c>
      <c r="K16" s="65">
        <f t="shared" si="2"/>
        <v>36504</v>
      </c>
      <c r="M16" t="s">
        <v>1798</v>
      </c>
    </row>
    <row r="17" spans="1:13">
      <c r="B17" t="s">
        <v>1808</v>
      </c>
      <c r="D17" s="303">
        <v>4.2000000000000003E-2</v>
      </c>
      <c r="I17">
        <v>60000</v>
      </c>
      <c r="J17" s="66">
        <f>I17*D17</f>
        <v>2520</v>
      </c>
      <c r="K17" s="65">
        <f>I17/10</f>
        <v>6000</v>
      </c>
      <c r="M17" t="s">
        <v>1809</v>
      </c>
    </row>
    <row r="18" spans="1:13" s="17" customFormat="1">
      <c r="A18" s="17" t="s">
        <v>1065</v>
      </c>
      <c r="J18" s="88"/>
      <c r="K18" s="86"/>
    </row>
    <row r="19" spans="1:13" s="17" customFormat="1">
      <c r="A19" s="17" t="s">
        <v>1063</v>
      </c>
      <c r="B19" s="17" t="s">
        <v>1066</v>
      </c>
      <c r="C19" s="17" t="s">
        <v>1062</v>
      </c>
      <c r="D19" s="17" t="s">
        <v>1063</v>
      </c>
      <c r="E19" s="17" t="s">
        <v>1064</v>
      </c>
      <c r="J19" s="88"/>
      <c r="K19" s="86"/>
    </row>
    <row r="20" spans="1:13">
      <c r="A20" s="81">
        <f>I8</f>
        <v>404779.61</v>
      </c>
      <c r="B20" s="79">
        <f>$G$8</f>
        <v>21144.720000000001</v>
      </c>
      <c r="C20" s="65">
        <f>A20*0.042/4</f>
        <v>4250.1859050000003</v>
      </c>
      <c r="D20" s="79">
        <f>B20-C20</f>
        <v>16894.534095000003</v>
      </c>
      <c r="E20" s="80">
        <f>A20-D20</f>
        <v>387885.07590499998</v>
      </c>
    </row>
    <row r="21" spans="1:13">
      <c r="A21" s="80">
        <f>E20</f>
        <v>387885.07590499998</v>
      </c>
      <c r="B21" s="79">
        <f>$G$8</f>
        <v>21144.720000000001</v>
      </c>
      <c r="C21" s="80">
        <f>A21*0.042/4</f>
        <v>4072.7932970024999</v>
      </c>
      <c r="D21" s="79">
        <f>B21-C21</f>
        <v>17071.926702997502</v>
      </c>
      <c r="E21" s="80">
        <f>A21-D21</f>
        <v>370813.14920200245</v>
      </c>
    </row>
    <row r="22" spans="1:13">
      <c r="A22" s="80">
        <f>E21</f>
        <v>370813.14920200245</v>
      </c>
      <c r="B22" s="79">
        <f>$G$8</f>
        <v>21144.720000000001</v>
      </c>
      <c r="C22" s="80">
        <f>A22*0.042/4</f>
        <v>3893.5380666210258</v>
      </c>
      <c r="D22" s="79">
        <f>B22-C22</f>
        <v>17251.181933378975</v>
      </c>
      <c r="E22" s="80">
        <f>A22-D22</f>
        <v>353561.96726862347</v>
      </c>
    </row>
    <row r="23" spans="1:13">
      <c r="A23" s="80">
        <f>E22</f>
        <v>353561.96726862347</v>
      </c>
      <c r="B23" s="79">
        <f>$G$8</f>
        <v>21144.720000000001</v>
      </c>
      <c r="C23" s="80">
        <f>A23*0.042/4</f>
        <v>3712.4006563205467</v>
      </c>
      <c r="D23" s="79">
        <f>B23-C23</f>
        <v>17432.319343679454</v>
      </c>
      <c r="E23" s="80">
        <f>A23-D23</f>
        <v>336129.647924944</v>
      </c>
    </row>
    <row r="24" spans="1:13">
      <c r="D24" s="79">
        <f>SUM(D20:D23)</f>
        <v>68649.962075055926</v>
      </c>
    </row>
    <row r="25" spans="1:13" s="17" customFormat="1">
      <c r="A25" s="17" t="s">
        <v>1068</v>
      </c>
      <c r="J25" s="88"/>
      <c r="K25" s="86"/>
    </row>
    <row r="26" spans="1:13" s="17" customFormat="1">
      <c r="A26" s="17" t="s">
        <v>1063</v>
      </c>
      <c r="B26" s="17" t="s">
        <v>1058</v>
      </c>
      <c r="C26" s="17" t="s">
        <v>1062</v>
      </c>
      <c r="D26" s="17" t="s">
        <v>1063</v>
      </c>
      <c r="E26" s="17" t="s">
        <v>1064</v>
      </c>
      <c r="J26" s="88"/>
      <c r="K26" s="86"/>
    </row>
    <row r="27" spans="1:13">
      <c r="A27" s="80">
        <f>I9</f>
        <v>203665.56000000003</v>
      </c>
      <c r="B27" s="79">
        <f>$E$9</f>
        <v>8636.2151400000002</v>
      </c>
      <c r="C27" s="80">
        <f t="shared" ref="C27:C38" si="3">A27*0.042/12</f>
        <v>712.82946000000004</v>
      </c>
      <c r="D27">
        <f>G9</f>
        <v>1958.61</v>
      </c>
      <c r="E27" s="80">
        <f t="shared" ref="E27:E38" si="4">A27-D27</f>
        <v>201706.95000000004</v>
      </c>
    </row>
    <row r="28" spans="1:13">
      <c r="A28" s="80">
        <f t="shared" ref="A28:A38" si="5">E27</f>
        <v>201706.95000000004</v>
      </c>
      <c r="B28" s="79">
        <f t="shared" ref="B28:B38" si="6">$E$9</f>
        <v>8636.2151400000002</v>
      </c>
      <c r="C28" s="80">
        <f t="shared" si="3"/>
        <v>705.97432500000014</v>
      </c>
      <c r="D28" s="80">
        <f t="shared" ref="D28:D38" si="7">B28-C28</f>
        <v>7930.2408150000001</v>
      </c>
      <c r="E28" s="80">
        <f t="shared" si="4"/>
        <v>193776.70918500004</v>
      </c>
    </row>
    <row r="29" spans="1:13">
      <c r="A29" s="80">
        <f t="shared" si="5"/>
        <v>193776.70918500004</v>
      </c>
      <c r="B29" s="79">
        <f t="shared" si="6"/>
        <v>8636.2151400000002</v>
      </c>
      <c r="C29" s="80">
        <f t="shared" si="3"/>
        <v>678.21848214750014</v>
      </c>
      <c r="D29" s="80">
        <f t="shared" si="7"/>
        <v>7957.9966578525</v>
      </c>
      <c r="E29" s="80">
        <f t="shared" si="4"/>
        <v>185818.71252714755</v>
      </c>
    </row>
    <row r="30" spans="1:13">
      <c r="A30" s="80">
        <f t="shared" si="5"/>
        <v>185818.71252714755</v>
      </c>
      <c r="B30" s="79">
        <f t="shared" si="6"/>
        <v>8636.2151400000002</v>
      </c>
      <c r="C30" s="80">
        <f t="shared" si="3"/>
        <v>650.36549384501643</v>
      </c>
      <c r="D30" s="80">
        <f t="shared" si="7"/>
        <v>7985.8496461549839</v>
      </c>
      <c r="E30" s="80">
        <f t="shared" si="4"/>
        <v>177832.86288099256</v>
      </c>
    </row>
    <row r="31" spans="1:13">
      <c r="A31" s="80">
        <f t="shared" si="5"/>
        <v>177832.86288099256</v>
      </c>
      <c r="B31" s="79">
        <f t="shared" si="6"/>
        <v>8636.2151400000002</v>
      </c>
      <c r="C31" s="80">
        <f t="shared" si="3"/>
        <v>622.41502008347402</v>
      </c>
      <c r="D31" s="80">
        <f t="shared" si="7"/>
        <v>8013.8001199165265</v>
      </c>
      <c r="E31" s="80">
        <f t="shared" si="4"/>
        <v>169819.06276107603</v>
      </c>
    </row>
    <row r="32" spans="1:13">
      <c r="A32" s="80">
        <f t="shared" si="5"/>
        <v>169819.06276107603</v>
      </c>
      <c r="B32" s="79">
        <f t="shared" si="6"/>
        <v>8636.2151400000002</v>
      </c>
      <c r="C32" s="80">
        <f t="shared" si="3"/>
        <v>594.36671966376616</v>
      </c>
      <c r="D32" s="80">
        <f t="shared" si="7"/>
        <v>8041.8484203362341</v>
      </c>
      <c r="E32" s="80">
        <f t="shared" si="4"/>
        <v>161777.2143407398</v>
      </c>
    </row>
    <row r="33" spans="1:11">
      <c r="A33" s="80">
        <f t="shared" si="5"/>
        <v>161777.2143407398</v>
      </c>
      <c r="B33" s="79">
        <f>$E$9</f>
        <v>8636.2151400000002</v>
      </c>
      <c r="C33" s="80">
        <f t="shared" si="3"/>
        <v>566.22025019258933</v>
      </c>
      <c r="D33" s="80">
        <f t="shared" si="7"/>
        <v>8069.9948898074108</v>
      </c>
      <c r="E33" s="80">
        <f t="shared" si="4"/>
        <v>153707.21945093237</v>
      </c>
    </row>
    <row r="34" spans="1:11">
      <c r="A34" s="80">
        <f t="shared" si="5"/>
        <v>153707.21945093237</v>
      </c>
      <c r="B34" s="79">
        <f t="shared" si="6"/>
        <v>8636.2151400000002</v>
      </c>
      <c r="C34" s="80">
        <f t="shared" si="3"/>
        <v>537.97526807826341</v>
      </c>
      <c r="D34" s="80">
        <f t="shared" si="7"/>
        <v>8098.2398719217372</v>
      </c>
      <c r="E34" s="80">
        <f t="shared" si="4"/>
        <v>145608.97957901063</v>
      </c>
    </row>
    <row r="35" spans="1:11">
      <c r="A35" s="80">
        <f t="shared" si="5"/>
        <v>145608.97957901063</v>
      </c>
      <c r="B35" s="79">
        <f t="shared" si="6"/>
        <v>8636.2151400000002</v>
      </c>
      <c r="C35" s="80">
        <f t="shared" si="3"/>
        <v>509.63142852653726</v>
      </c>
      <c r="D35" s="80">
        <f t="shared" si="7"/>
        <v>8126.5837114734632</v>
      </c>
      <c r="E35" s="80">
        <f t="shared" si="4"/>
        <v>137482.39586753715</v>
      </c>
    </row>
    <row r="36" spans="1:11">
      <c r="A36" s="80">
        <f t="shared" si="5"/>
        <v>137482.39586753715</v>
      </c>
      <c r="B36" s="79">
        <f t="shared" si="6"/>
        <v>8636.2151400000002</v>
      </c>
      <c r="C36" s="80">
        <f t="shared" si="3"/>
        <v>481.18838553638005</v>
      </c>
      <c r="D36" s="80">
        <f t="shared" si="7"/>
        <v>8155.0267544636199</v>
      </c>
      <c r="E36" s="80">
        <f t="shared" si="4"/>
        <v>129327.36911307354</v>
      </c>
    </row>
    <row r="37" spans="1:11">
      <c r="A37" s="80">
        <f t="shared" si="5"/>
        <v>129327.36911307354</v>
      </c>
      <c r="B37" s="79">
        <f t="shared" si="6"/>
        <v>8636.2151400000002</v>
      </c>
      <c r="C37" s="80">
        <f t="shared" si="3"/>
        <v>452.64579189575738</v>
      </c>
      <c r="D37" s="80">
        <f t="shared" si="7"/>
        <v>8183.5693481042426</v>
      </c>
      <c r="E37" s="80">
        <f t="shared" si="4"/>
        <v>121143.7997649693</v>
      </c>
    </row>
    <row r="38" spans="1:11">
      <c r="A38" s="80">
        <f t="shared" si="5"/>
        <v>121143.7997649693</v>
      </c>
      <c r="B38" s="79">
        <f t="shared" si="6"/>
        <v>8636.2151400000002</v>
      </c>
      <c r="C38" s="80">
        <f t="shared" si="3"/>
        <v>424.00329917739259</v>
      </c>
      <c r="D38" s="80">
        <f t="shared" si="7"/>
        <v>8212.211840822607</v>
      </c>
      <c r="E38" s="80">
        <f t="shared" si="4"/>
        <v>112931.58792414669</v>
      </c>
    </row>
    <row r="39" spans="1:11">
      <c r="D39" s="80">
        <f>SUM(D27:D38)</f>
        <v>90733.972075853322</v>
      </c>
    </row>
    <row r="40" spans="1:11">
      <c r="A40" t="s">
        <v>1095</v>
      </c>
    </row>
    <row r="41" spans="1:11" s="17" customFormat="1">
      <c r="A41" s="17" t="s">
        <v>1063</v>
      </c>
      <c r="B41" s="17" t="s">
        <v>1096</v>
      </c>
      <c r="C41" s="17" t="s">
        <v>1062</v>
      </c>
      <c r="D41" s="17" t="s">
        <v>1063</v>
      </c>
      <c r="E41" s="17" t="s">
        <v>1064</v>
      </c>
      <c r="J41" s="88"/>
      <c r="K41" s="86"/>
    </row>
    <row r="42" spans="1:11">
      <c r="A42" s="65">
        <f>C12</f>
        <v>498195.60000000003</v>
      </c>
      <c r="B42" s="65">
        <f>4441.7*12</f>
        <v>53300.399999999994</v>
      </c>
      <c r="C42" s="65">
        <f t="shared" ref="C42:C53" si="8">A42*0.04</f>
        <v>19927.824000000001</v>
      </c>
      <c r="D42" s="65">
        <f t="shared" ref="D42:D53" si="9">B42-C42</f>
        <v>33372.575999999994</v>
      </c>
      <c r="E42" s="65">
        <f t="shared" ref="E42:E52" si="10">A42-D42</f>
        <v>464823.02400000003</v>
      </c>
    </row>
    <row r="43" spans="1:11">
      <c r="A43" s="65">
        <f t="shared" ref="A43:A53" si="11">E42</f>
        <v>464823.02400000003</v>
      </c>
      <c r="B43" s="65">
        <f>B42</f>
        <v>53300.399999999994</v>
      </c>
      <c r="C43" s="65">
        <f t="shared" si="8"/>
        <v>18592.920960000003</v>
      </c>
      <c r="D43" s="65">
        <f t="shared" si="9"/>
        <v>34707.479039999991</v>
      </c>
      <c r="E43" s="65">
        <f t="shared" si="10"/>
        <v>430115.54496000003</v>
      </c>
    </row>
    <row r="44" spans="1:11">
      <c r="A44" s="65">
        <f t="shared" si="11"/>
        <v>430115.54496000003</v>
      </c>
      <c r="B44" s="65">
        <f t="shared" ref="B44:B46" si="12">B43</f>
        <v>53300.399999999994</v>
      </c>
      <c r="C44" s="65">
        <f t="shared" si="8"/>
        <v>17204.621798400003</v>
      </c>
      <c r="D44" s="65">
        <f t="shared" si="9"/>
        <v>36095.778201599991</v>
      </c>
      <c r="E44" s="65">
        <f t="shared" si="10"/>
        <v>394019.76675840002</v>
      </c>
    </row>
    <row r="45" spans="1:11">
      <c r="A45" s="65">
        <f t="shared" si="11"/>
        <v>394019.76675840002</v>
      </c>
      <c r="B45" s="65">
        <f t="shared" si="12"/>
        <v>53300.399999999994</v>
      </c>
      <c r="C45" s="65">
        <f t="shared" si="8"/>
        <v>15760.790670336</v>
      </c>
      <c r="D45" s="65">
        <f t="shared" si="9"/>
        <v>37539.609329663996</v>
      </c>
      <c r="E45" s="65">
        <f t="shared" si="10"/>
        <v>356480.15742873604</v>
      </c>
    </row>
    <row r="46" spans="1:11">
      <c r="A46" s="65">
        <f t="shared" si="11"/>
        <v>356480.15742873604</v>
      </c>
      <c r="B46" s="65">
        <f t="shared" si="12"/>
        <v>53300.399999999994</v>
      </c>
      <c r="C46" s="65">
        <f t="shared" si="8"/>
        <v>14259.206297149442</v>
      </c>
      <c r="D46" s="65">
        <f t="shared" si="9"/>
        <v>39041.193702850549</v>
      </c>
      <c r="E46" s="65">
        <f t="shared" si="10"/>
        <v>317438.96372588549</v>
      </c>
    </row>
    <row r="47" spans="1:11">
      <c r="A47" s="65">
        <f t="shared" si="11"/>
        <v>317438.96372588549</v>
      </c>
      <c r="B47" s="65">
        <f t="shared" ref="B47:B53" si="13">B46</f>
        <v>53300.399999999994</v>
      </c>
      <c r="C47" s="65">
        <f t="shared" si="8"/>
        <v>12697.558549035421</v>
      </c>
      <c r="D47" s="65">
        <f t="shared" si="9"/>
        <v>40602.841450964574</v>
      </c>
      <c r="E47" s="65">
        <f t="shared" si="10"/>
        <v>276836.12227492093</v>
      </c>
    </row>
    <row r="48" spans="1:11">
      <c r="A48" s="65">
        <f t="shared" si="11"/>
        <v>276836.12227492093</v>
      </c>
      <c r="B48" s="65">
        <f t="shared" si="13"/>
        <v>53300.399999999994</v>
      </c>
      <c r="C48" s="65">
        <f t="shared" si="8"/>
        <v>11073.444890996838</v>
      </c>
      <c r="D48" s="65">
        <f t="shared" si="9"/>
        <v>42226.95510900316</v>
      </c>
      <c r="E48" s="65">
        <f t="shared" si="10"/>
        <v>234609.16716591775</v>
      </c>
    </row>
    <row r="49" spans="1:11">
      <c r="A49" s="65">
        <f t="shared" si="11"/>
        <v>234609.16716591775</v>
      </c>
      <c r="B49" s="65">
        <f t="shared" si="13"/>
        <v>53300.399999999994</v>
      </c>
      <c r="C49" s="65">
        <f t="shared" si="8"/>
        <v>9384.3666866367112</v>
      </c>
      <c r="D49" s="65">
        <f t="shared" si="9"/>
        <v>43916.033313363281</v>
      </c>
      <c r="E49" s="65">
        <f t="shared" si="10"/>
        <v>190693.13385255449</v>
      </c>
    </row>
    <row r="50" spans="1:11">
      <c r="A50" s="65">
        <f t="shared" si="11"/>
        <v>190693.13385255449</v>
      </c>
      <c r="B50" s="65">
        <f t="shared" si="13"/>
        <v>53300.399999999994</v>
      </c>
      <c r="C50" s="65">
        <f t="shared" si="8"/>
        <v>7627.7253541021792</v>
      </c>
      <c r="D50" s="65">
        <f t="shared" si="9"/>
        <v>45672.674645897816</v>
      </c>
      <c r="E50" s="65">
        <f t="shared" si="10"/>
        <v>145020.45920665667</v>
      </c>
    </row>
    <row r="51" spans="1:11">
      <c r="A51" s="65">
        <f t="shared" si="11"/>
        <v>145020.45920665667</v>
      </c>
      <c r="B51" s="65">
        <f t="shared" si="13"/>
        <v>53300.399999999994</v>
      </c>
      <c r="C51" s="65">
        <f t="shared" si="8"/>
        <v>5800.8183682662666</v>
      </c>
      <c r="D51" s="65">
        <f t="shared" si="9"/>
        <v>47499.58163173373</v>
      </c>
      <c r="E51" s="65">
        <f t="shared" si="10"/>
        <v>97520.877574922939</v>
      </c>
    </row>
    <row r="52" spans="1:11">
      <c r="A52" s="65">
        <f t="shared" si="11"/>
        <v>97520.877574922939</v>
      </c>
      <c r="B52" s="65">
        <f t="shared" si="13"/>
        <v>53300.399999999994</v>
      </c>
      <c r="C52" s="65">
        <f t="shared" si="8"/>
        <v>3900.8351029969176</v>
      </c>
      <c r="D52" s="65">
        <f t="shared" si="9"/>
        <v>49399.564897003074</v>
      </c>
      <c r="E52" s="65">
        <f t="shared" si="10"/>
        <v>48121.312677919865</v>
      </c>
    </row>
    <row r="53" spans="1:11">
      <c r="A53" s="65">
        <f t="shared" si="11"/>
        <v>48121.312677919865</v>
      </c>
      <c r="B53" s="65">
        <f t="shared" si="13"/>
        <v>53300.399999999994</v>
      </c>
      <c r="C53" s="65">
        <f t="shared" si="8"/>
        <v>1924.8525071167946</v>
      </c>
      <c r="D53" s="65">
        <f t="shared" si="9"/>
        <v>51375.547492883197</v>
      </c>
      <c r="E53" s="65">
        <v>0</v>
      </c>
    </row>
    <row r="54" spans="1:11">
      <c r="A54" s="65"/>
      <c r="B54" s="65"/>
      <c r="C54" s="65"/>
      <c r="D54" s="65"/>
      <c r="E54" s="65"/>
    </row>
    <row r="55" spans="1:11">
      <c r="A55" s="65" t="s">
        <v>1087</v>
      </c>
      <c r="B55" s="65"/>
      <c r="C55" s="65"/>
      <c r="D55" s="65"/>
      <c r="E55" s="65"/>
    </row>
    <row r="56" spans="1:11" s="17" customFormat="1">
      <c r="A56" s="17" t="s">
        <v>1063</v>
      </c>
      <c r="B56" s="17" t="s">
        <v>1096</v>
      </c>
      <c r="C56" s="17" t="s">
        <v>1062</v>
      </c>
      <c r="D56" s="17" t="s">
        <v>1063</v>
      </c>
      <c r="E56" s="17" t="s">
        <v>1064</v>
      </c>
      <c r="J56" s="88"/>
      <c r="K56" s="86"/>
    </row>
    <row r="57" spans="1:11">
      <c r="A57" s="65">
        <f>C13</f>
        <v>245044.57</v>
      </c>
      <c r="B57" s="65">
        <f>5794.91*12</f>
        <v>69538.92</v>
      </c>
      <c r="C57" s="65">
        <f>A57*0.04</f>
        <v>9801.7828000000009</v>
      </c>
      <c r="D57" s="65">
        <f>B57-C57</f>
        <v>59737.137199999997</v>
      </c>
      <c r="E57" s="65">
        <f>A57-D57</f>
        <v>185307.43280000001</v>
      </c>
    </row>
    <row r="58" spans="1:11">
      <c r="A58" s="65">
        <f>E57</f>
        <v>185307.43280000001</v>
      </c>
      <c r="B58" s="65">
        <f t="shared" ref="B58:B60" si="14">5794.91*12</f>
        <v>69538.92</v>
      </c>
      <c r="C58" s="65">
        <f>A58*0.04</f>
        <v>7412.2973120000006</v>
      </c>
      <c r="D58" s="65">
        <f>B58-C58</f>
        <v>62126.622687999996</v>
      </c>
      <c r="E58" s="65">
        <f>A58-D58</f>
        <v>123180.81011200001</v>
      </c>
    </row>
    <row r="59" spans="1:11">
      <c r="A59" s="65">
        <f>E58</f>
        <v>123180.81011200001</v>
      </c>
      <c r="B59" s="65">
        <f t="shared" si="14"/>
        <v>69538.92</v>
      </c>
      <c r="C59" s="65">
        <f>A59*0.04</f>
        <v>4927.2324044800007</v>
      </c>
      <c r="D59" s="65">
        <f>B59-C59</f>
        <v>64611.687595519994</v>
      </c>
      <c r="E59" s="65">
        <f>A59-D59</f>
        <v>58569.122516480013</v>
      </c>
    </row>
    <row r="60" spans="1:11">
      <c r="A60" s="65">
        <f>E59</f>
        <v>58569.122516480013</v>
      </c>
      <c r="B60" s="65">
        <f t="shared" si="14"/>
        <v>69538.92</v>
      </c>
      <c r="C60" s="65">
        <f>A60*0.04</f>
        <v>2342.7649006592005</v>
      </c>
      <c r="D60" s="65">
        <f>B60-C60</f>
        <v>67196.155099340802</v>
      </c>
      <c r="E60" s="65">
        <v>0</v>
      </c>
    </row>
    <row r="61" spans="1:11">
      <c r="A61" s="65"/>
      <c r="B61" s="65"/>
      <c r="C61" s="65"/>
      <c r="D61" s="65"/>
      <c r="E61" s="65"/>
    </row>
    <row r="62" spans="1:11">
      <c r="A62" s="65"/>
      <c r="B62" s="65"/>
      <c r="C62" s="65"/>
      <c r="D62" s="65"/>
      <c r="E62" s="65"/>
    </row>
    <row r="63" spans="1:11">
      <c r="A63" s="65"/>
      <c r="B63" s="65"/>
      <c r="C63" s="65"/>
      <c r="D63" s="65"/>
      <c r="E63" s="65"/>
    </row>
    <row r="64" spans="1:11">
      <c r="A64" s="65"/>
      <c r="B64" s="65"/>
      <c r="C64" s="65"/>
      <c r="D64" s="65"/>
      <c r="E64" s="65"/>
    </row>
    <row r="65" spans="1:5">
      <c r="A65" s="65"/>
      <c r="B65" s="65"/>
      <c r="C65" s="65"/>
      <c r="D65" s="65"/>
      <c r="E65" s="65"/>
    </row>
  </sheetData>
  <pageMargins left="0.7" right="0.7" top="0.75" bottom="0.75" header="0.3" footer="0.3"/>
  <pageSetup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5"/>
  <sheetViews>
    <sheetView topLeftCell="B1" zoomScale="150" zoomScaleNormal="150" workbookViewId="0">
      <selection activeCell="B37" sqref="B37"/>
    </sheetView>
  </sheetViews>
  <sheetFormatPr defaultColWidth="9.28515625" defaultRowHeight="12.75"/>
  <cols>
    <col min="1" max="1" width="9.28515625" style="71"/>
    <col min="2" max="2" width="46.7109375" style="71" bestFit="1" customWidth="1"/>
    <col min="3" max="3" width="17.7109375" style="71" hidden="1" customWidth="1"/>
    <col min="4" max="4" width="16.7109375" style="71" hidden="1" customWidth="1"/>
    <col min="5" max="5" width="16.28515625" style="71" hidden="1" customWidth="1"/>
    <col min="6" max="10" width="0" style="71" hidden="1" customWidth="1"/>
    <col min="11" max="11" width="16.7109375" style="71" customWidth="1"/>
    <col min="12" max="12" width="16.28515625" style="71" customWidth="1"/>
    <col min="13" max="16384" width="9.28515625" style="71"/>
  </cols>
  <sheetData>
    <row r="2" spans="2:13" ht="15.75">
      <c r="B2" s="310" t="s">
        <v>1815</v>
      </c>
      <c r="C2" s="318" t="s">
        <v>21</v>
      </c>
      <c r="D2" s="318" t="s">
        <v>21</v>
      </c>
      <c r="E2" s="318" t="s">
        <v>22</v>
      </c>
      <c r="F2" s="85"/>
      <c r="G2" s="85"/>
      <c r="K2" s="318" t="s">
        <v>21</v>
      </c>
      <c r="L2" s="318" t="s">
        <v>22</v>
      </c>
    </row>
    <row r="3" spans="2:13" ht="15.75">
      <c r="B3" s="85"/>
      <c r="C3" s="319">
        <v>2016</v>
      </c>
      <c r="D3" s="320">
        <v>2017</v>
      </c>
      <c r="E3" s="320">
        <v>2017</v>
      </c>
      <c r="F3" s="85"/>
      <c r="G3" s="85"/>
      <c r="K3" s="320">
        <v>2018</v>
      </c>
      <c r="L3" s="320">
        <v>2018</v>
      </c>
    </row>
    <row r="6" spans="2:13" ht="15.75">
      <c r="B6" s="310" t="s">
        <v>45</v>
      </c>
      <c r="C6" s="311">
        <f>'INAC Funding'!I36</f>
        <v>14788214</v>
      </c>
      <c r="D6" s="307">
        <f>'INAC Funding'!K36</f>
        <v>15154628</v>
      </c>
      <c r="E6" s="307">
        <f>'INAC Funding'!L36</f>
        <v>806156</v>
      </c>
      <c r="F6" s="307" t="e">
        <f>#REF!</f>
        <v>#REF!</v>
      </c>
      <c r="G6" s="307" t="e">
        <f>#REF!</f>
        <v>#REF!</v>
      </c>
      <c r="H6" s="307" t="e">
        <f>#REF!</f>
        <v>#REF!</v>
      </c>
      <c r="I6" s="307" t="e">
        <f>#REF!</f>
        <v>#REF!</v>
      </c>
      <c r="J6" s="307" t="e">
        <f>#REF!</f>
        <v>#REF!</v>
      </c>
      <c r="K6" s="307">
        <f>'INAC Funding'!M36</f>
        <v>15409076</v>
      </c>
      <c r="L6" s="307">
        <f>'INAC Funding'!N36</f>
        <v>987196</v>
      </c>
    </row>
    <row r="7" spans="2:13" ht="15">
      <c r="B7" s="85"/>
      <c r="C7" s="72"/>
      <c r="D7" s="89"/>
      <c r="E7" s="89"/>
      <c r="F7" s="89"/>
      <c r="G7" s="89"/>
      <c r="H7" s="312"/>
      <c r="I7" s="89" t="s">
        <v>28</v>
      </c>
      <c r="J7" s="312"/>
      <c r="K7" s="89"/>
      <c r="L7" s="89"/>
    </row>
    <row r="8" spans="2:13" ht="15">
      <c r="B8" s="313" t="s">
        <v>29</v>
      </c>
      <c r="C8" s="72"/>
      <c r="D8" s="89"/>
      <c r="E8" s="89"/>
      <c r="F8" s="89" t="s">
        <v>30</v>
      </c>
      <c r="G8" s="89"/>
      <c r="H8" s="68"/>
      <c r="I8" s="68"/>
      <c r="J8" s="68"/>
      <c r="K8" s="89"/>
      <c r="L8" s="89"/>
    </row>
    <row r="9" spans="2:13" ht="15">
      <c r="B9" s="85"/>
      <c r="C9" s="72"/>
      <c r="D9" s="85"/>
      <c r="E9" s="89"/>
      <c r="F9" s="89" t="s">
        <v>31</v>
      </c>
      <c r="G9" s="89" t="s">
        <v>32</v>
      </c>
      <c r="H9" s="68"/>
      <c r="I9" s="68"/>
      <c r="J9" s="68"/>
      <c r="K9" s="85"/>
      <c r="L9" s="89"/>
    </row>
    <row r="10" spans="2:13" ht="15.75">
      <c r="B10" s="314" t="s">
        <v>15</v>
      </c>
      <c r="C10" s="72">
        <f>5522892</f>
        <v>5522892</v>
      </c>
      <c r="D10" s="72">
        <f>C10*1.025</f>
        <v>5660964.2999999998</v>
      </c>
      <c r="E10" s="72"/>
      <c r="F10" s="72">
        <v>5170000</v>
      </c>
      <c r="G10" s="72">
        <v>12</v>
      </c>
      <c r="H10" s="68"/>
      <c r="I10" s="89">
        <v>406250</v>
      </c>
      <c r="J10" s="68"/>
      <c r="K10" s="72">
        <f>D10</f>
        <v>5660964.2999999998</v>
      </c>
      <c r="L10" s="72"/>
      <c r="M10" s="321"/>
    </row>
    <row r="11" spans="2:13" ht="15">
      <c r="B11" s="85" t="s">
        <v>24</v>
      </c>
      <c r="C11" s="72"/>
      <c r="D11" s="89"/>
      <c r="E11" s="89">
        <f>'INAC Funding'!L19</f>
        <v>116082</v>
      </c>
      <c r="F11" s="89"/>
      <c r="G11" s="89"/>
      <c r="H11" s="312"/>
      <c r="I11" s="89"/>
      <c r="J11" s="312"/>
      <c r="K11" s="89"/>
      <c r="L11" s="89">
        <f>'INAC Funding'!N19</f>
        <v>297122</v>
      </c>
    </row>
    <row r="12" spans="2:13" ht="15">
      <c r="B12" s="85" t="s">
        <v>25</v>
      </c>
      <c r="C12" s="72"/>
      <c r="D12" s="89"/>
      <c r="E12" s="89">
        <f>'INAC Funding'!L20</f>
        <v>0</v>
      </c>
      <c r="F12" s="89"/>
      <c r="G12" s="89"/>
      <c r="H12" s="312"/>
      <c r="I12" s="89"/>
      <c r="J12" s="312"/>
      <c r="K12" s="89"/>
      <c r="L12" s="89">
        <f>'INAC Funding'!S20</f>
        <v>0</v>
      </c>
    </row>
    <row r="13" spans="2:13" ht="15">
      <c r="B13" s="85" t="s">
        <v>26</v>
      </c>
      <c r="C13" s="72"/>
      <c r="D13" s="89"/>
      <c r="E13" s="89">
        <f>'INAC Funding'!L22</f>
        <v>0</v>
      </c>
      <c r="F13" s="89"/>
      <c r="G13" s="89"/>
      <c r="H13" s="312"/>
      <c r="I13" s="89"/>
      <c r="J13" s="312"/>
      <c r="K13" s="89"/>
      <c r="L13" s="89">
        <f>'INAC Funding'!S22</f>
        <v>0</v>
      </c>
    </row>
    <row r="14" spans="2:13" ht="15">
      <c r="B14" s="85" t="s">
        <v>47</v>
      </c>
      <c r="C14" s="315"/>
      <c r="D14" s="306"/>
      <c r="E14" s="306">
        <f>'INAC Funding'!L23</f>
        <v>0</v>
      </c>
      <c r="F14" s="306"/>
      <c r="G14" s="306"/>
      <c r="H14" s="316"/>
      <c r="I14" s="306"/>
      <c r="J14" s="316"/>
      <c r="K14" s="306"/>
      <c r="L14" s="306">
        <f>'INAC Funding'!S23</f>
        <v>0</v>
      </c>
    </row>
    <row r="15" spans="2:13" ht="15.75">
      <c r="B15" s="314" t="s">
        <v>27</v>
      </c>
      <c r="C15" s="317">
        <f>SUM(C10:C14)</f>
        <v>5522892</v>
      </c>
      <c r="D15" s="317">
        <f>SUM(D10:D14)</f>
        <v>5660964.2999999998</v>
      </c>
      <c r="E15" s="317">
        <f>SUM(E11:E14)</f>
        <v>116082</v>
      </c>
      <c r="F15" s="89"/>
      <c r="G15" s="89"/>
      <c r="H15" s="68"/>
      <c r="I15" s="89"/>
      <c r="J15" s="68"/>
      <c r="K15" s="317">
        <f>SUM(K10:K14)</f>
        <v>5660964.2999999998</v>
      </c>
      <c r="L15" s="317">
        <f>SUM(L11:L14)</f>
        <v>297122</v>
      </c>
    </row>
    <row r="16" spans="2:13" ht="15.75">
      <c r="B16" s="314"/>
      <c r="C16" s="72"/>
      <c r="D16" s="89"/>
      <c r="E16" s="89"/>
      <c r="F16" s="89"/>
      <c r="G16" s="89"/>
      <c r="H16" s="68"/>
      <c r="I16" s="89"/>
      <c r="J16" s="68"/>
      <c r="K16" s="89"/>
      <c r="L16" s="89"/>
    </row>
    <row r="17" spans="1:12" ht="15.75">
      <c r="A17" s="71">
        <v>32</v>
      </c>
      <c r="B17" s="85" t="s">
        <v>34</v>
      </c>
      <c r="C17" s="317">
        <v>2500000</v>
      </c>
      <c r="D17" s="244">
        <f>C17*(1+'INAC Funding'!K2)</f>
        <v>2537499.9999999995</v>
      </c>
      <c r="E17" s="89"/>
      <c r="F17" s="89">
        <v>207500</v>
      </c>
      <c r="G17" s="89">
        <v>12</v>
      </c>
      <c r="H17" s="68"/>
      <c r="I17" s="89"/>
      <c r="J17" s="68"/>
      <c r="K17" s="244">
        <f>D17*1.015</f>
        <v>2575562.4999999991</v>
      </c>
      <c r="L17" s="89"/>
    </row>
    <row r="18" spans="1:12" ht="15">
      <c r="B18" s="85"/>
      <c r="C18" s="72"/>
      <c r="D18" s="89"/>
      <c r="E18" s="89"/>
      <c r="F18" s="89"/>
      <c r="G18" s="89"/>
      <c r="H18" s="68"/>
      <c r="I18" s="89"/>
      <c r="J18" s="68"/>
      <c r="K18" s="89"/>
      <c r="L18" s="89"/>
    </row>
    <row r="19" spans="1:12" ht="15.75">
      <c r="A19" s="71" t="s">
        <v>33</v>
      </c>
      <c r="B19" s="85" t="s">
        <v>35</v>
      </c>
      <c r="C19" s="317">
        <v>170000</v>
      </c>
      <c r="D19" s="244">
        <f>C19*(1+'INAC Funding'!K2)</f>
        <v>172549.99999999997</v>
      </c>
      <c r="E19" s="89"/>
      <c r="F19" s="89">
        <v>9166.66</v>
      </c>
      <c r="G19" s="89">
        <v>12</v>
      </c>
      <c r="H19" s="68"/>
      <c r="I19" s="89"/>
      <c r="J19" s="68"/>
      <c r="K19" s="244">
        <f>D19*(1+'INAC Funding'!M2)</f>
        <v>176000.99999999997</v>
      </c>
      <c r="L19" s="89"/>
    </row>
    <row r="20" spans="1:12" ht="15">
      <c r="B20" s="85"/>
      <c r="C20" s="72"/>
      <c r="D20" s="89"/>
      <c r="E20" s="89"/>
      <c r="F20" s="89"/>
      <c r="G20" s="89"/>
      <c r="H20" s="68"/>
      <c r="I20" s="89"/>
      <c r="J20" s="68"/>
      <c r="K20" s="89"/>
      <c r="L20" s="89"/>
    </row>
    <row r="21" spans="1:12" ht="15.75">
      <c r="A21" s="71">
        <v>16</v>
      </c>
      <c r="B21" s="85" t="s">
        <v>36</v>
      </c>
      <c r="C21" s="317">
        <v>630000</v>
      </c>
      <c r="D21" s="244">
        <f>C21*(1+'INAC Funding'!K2)</f>
        <v>639449.99999999988</v>
      </c>
      <c r="E21" s="89"/>
      <c r="F21" s="89"/>
      <c r="G21" s="89"/>
      <c r="H21" s="68"/>
      <c r="I21" s="89"/>
      <c r="J21" s="68"/>
      <c r="K21" s="244">
        <f>D21*(1+'INAC Funding'!M2)</f>
        <v>652238.99999999988</v>
      </c>
      <c r="L21" s="89"/>
    </row>
    <row r="22" spans="1:12" ht="15">
      <c r="B22" s="85"/>
      <c r="C22" s="72"/>
      <c r="D22" s="89"/>
      <c r="E22" s="89"/>
      <c r="F22" s="89"/>
      <c r="G22" s="89"/>
      <c r="H22" s="68"/>
      <c r="I22" s="89"/>
      <c r="J22" s="68"/>
      <c r="K22" s="89"/>
      <c r="L22" s="89"/>
    </row>
    <row r="23" spans="1:12" ht="15.75">
      <c r="B23" s="85" t="s">
        <v>1021</v>
      </c>
      <c r="C23" s="72"/>
      <c r="D23" s="89"/>
      <c r="E23" s="244">
        <f>'INAC Funding'!L21</f>
        <v>0</v>
      </c>
      <c r="F23" s="89"/>
      <c r="G23" s="89"/>
      <c r="H23" s="312"/>
      <c r="I23" s="89"/>
      <c r="J23" s="312"/>
      <c r="K23" s="89"/>
      <c r="L23" s="244">
        <f>'INAC Funding'!S21</f>
        <v>0</v>
      </c>
    </row>
    <row r="24" spans="1:12" ht="15">
      <c r="B24" s="85"/>
      <c r="C24" s="72"/>
      <c r="D24" s="89"/>
      <c r="E24" s="89"/>
      <c r="F24" s="89"/>
      <c r="G24" s="89"/>
      <c r="H24" s="68"/>
      <c r="I24" s="89"/>
      <c r="J24" s="68"/>
      <c r="K24" s="89"/>
      <c r="L24" s="89"/>
    </row>
    <row r="25" spans="1:12" ht="15.75">
      <c r="B25" s="85" t="s">
        <v>37</v>
      </c>
      <c r="C25" s="72"/>
      <c r="D25" s="89"/>
      <c r="E25" s="244">
        <f>'INAC Funding'!L34</f>
        <v>490074</v>
      </c>
      <c r="F25" s="89">
        <v>33576</v>
      </c>
      <c r="G25" s="89">
        <v>12</v>
      </c>
      <c r="H25" s="312"/>
      <c r="I25" s="89"/>
      <c r="J25" s="312"/>
      <c r="K25" s="89"/>
      <c r="L25" s="244">
        <f>'INAC Funding'!N34</f>
        <v>490074</v>
      </c>
    </row>
    <row r="26" spans="1:12" ht="15.75">
      <c r="B26" s="322"/>
      <c r="E26" s="317"/>
      <c r="F26" s="89"/>
      <c r="G26" s="89"/>
      <c r="H26" s="312"/>
      <c r="I26" s="89"/>
      <c r="J26" s="312"/>
      <c r="L26" s="317"/>
    </row>
    <row r="27" spans="1:12" ht="15.75">
      <c r="B27" s="85" t="s">
        <v>38</v>
      </c>
      <c r="C27" s="317">
        <f>1840450</f>
        <v>1840450</v>
      </c>
      <c r="D27" s="244">
        <f>C27*(1+'INAC Funding'!K2)</f>
        <v>1868056.7499999998</v>
      </c>
      <c r="E27" s="89"/>
      <c r="F27" s="89">
        <v>135363</v>
      </c>
      <c r="G27" s="89">
        <v>12</v>
      </c>
      <c r="H27" s="312"/>
      <c r="I27" s="89"/>
      <c r="J27" s="312"/>
      <c r="K27" s="244">
        <f>D27*1.015</f>
        <v>1896077.6012499996</v>
      </c>
      <c r="L27" s="89"/>
    </row>
    <row r="28" spans="1:12" ht="15">
      <c r="B28" s="85"/>
      <c r="C28" s="72"/>
      <c r="D28" s="89"/>
      <c r="E28" s="89"/>
      <c r="F28" s="89"/>
      <c r="G28" s="89"/>
      <c r="H28" s="68"/>
      <c r="I28" s="89"/>
      <c r="J28" s="68"/>
      <c r="K28" s="89"/>
      <c r="L28" s="89"/>
    </row>
    <row r="29" spans="1:12" ht="15.75">
      <c r="B29" s="85" t="s">
        <v>39</v>
      </c>
      <c r="C29" s="317">
        <v>192000</v>
      </c>
      <c r="D29" s="244">
        <f>C29*(1+'INAC Funding'!K2)</f>
        <v>194879.99999999997</v>
      </c>
      <c r="E29" s="323">
        <f>'INAC Funding'!L32</f>
        <v>0</v>
      </c>
      <c r="F29" s="306">
        <v>14500</v>
      </c>
      <c r="G29" s="89">
        <v>12</v>
      </c>
      <c r="H29" s="312"/>
      <c r="I29" s="306"/>
      <c r="J29" s="68"/>
      <c r="K29" s="244">
        <f>D29*(1+'INAC Funding'!M2)</f>
        <v>198777.59999999998</v>
      </c>
      <c r="L29" s="323">
        <f>'INAC Funding'!S32</f>
        <v>0</v>
      </c>
    </row>
    <row r="30" spans="1:12" ht="15">
      <c r="B30" s="85"/>
      <c r="C30" s="72"/>
      <c r="D30" s="89"/>
      <c r="E30" s="324"/>
      <c r="F30" s="89">
        <f>SUM(F10:F29)</f>
        <v>5570105.6600000001</v>
      </c>
      <c r="G30" s="89"/>
      <c r="H30" s="312"/>
      <c r="I30" s="324"/>
      <c r="J30" s="68"/>
      <c r="K30" s="89"/>
      <c r="L30" s="324"/>
    </row>
    <row r="31" spans="1:12" ht="15">
      <c r="B31" s="85"/>
      <c r="C31" s="72"/>
      <c r="D31" s="85"/>
      <c r="E31" s="85"/>
      <c r="G31" s="85"/>
      <c r="H31" s="114"/>
      <c r="I31" s="89"/>
      <c r="K31" s="85"/>
      <c r="L31" s="85"/>
    </row>
    <row r="32" spans="1:12" ht="15.75">
      <c r="B32" s="314" t="s">
        <v>40</v>
      </c>
      <c r="C32" s="317">
        <f>SUM(C15:C29)</f>
        <v>10855342</v>
      </c>
      <c r="D32" s="317">
        <f>SUM(D15:D29)</f>
        <v>11073401.049999999</v>
      </c>
      <c r="E32" s="317">
        <f>SUM(E15:E29)</f>
        <v>606156</v>
      </c>
      <c r="F32" s="85"/>
      <c r="G32" s="85"/>
      <c r="K32" s="317">
        <f>SUM(K15:K29)</f>
        <v>11159622.001249999</v>
      </c>
      <c r="L32" s="317">
        <f>SUM(L15:L29)</f>
        <v>787196</v>
      </c>
    </row>
    <row r="33" spans="2:12" ht="15">
      <c r="B33" s="85"/>
      <c r="C33" s="72"/>
      <c r="D33" s="85"/>
      <c r="E33" s="85"/>
      <c r="F33" s="85"/>
      <c r="G33" s="85"/>
      <c r="K33" s="85"/>
      <c r="L33" s="85"/>
    </row>
    <row r="34" spans="2:12" ht="15.75">
      <c r="B34" s="85" t="s">
        <v>41</v>
      </c>
      <c r="C34" s="307">
        <f>C6-C32</f>
        <v>3932872</v>
      </c>
      <c r="D34" s="307">
        <f>'INAC Funding'!K36-'Fund Distributions'!D32</f>
        <v>4081226.9500000011</v>
      </c>
      <c r="E34" s="307">
        <f>'INAC Funding'!L36-'Fund Distributions'!E32</f>
        <v>200000</v>
      </c>
      <c r="F34" s="85"/>
      <c r="G34" s="85"/>
      <c r="K34" s="307">
        <f>K6-'Fund Distributions'!K32</f>
        <v>4249453.9987500012</v>
      </c>
      <c r="L34" s="307">
        <f>L6-'Fund Distributions'!L32</f>
        <v>200000</v>
      </c>
    </row>
    <row r="35" spans="2:12" ht="15">
      <c r="B35" s="85"/>
      <c r="C35" s="324"/>
      <c r="D35" s="324"/>
      <c r="E35" s="324"/>
      <c r="F35" s="85"/>
      <c r="G35" s="85"/>
      <c r="K35" s="324"/>
      <c r="L35" s="324"/>
    </row>
    <row r="36" spans="2:12" ht="15.75">
      <c r="B36" s="314" t="s">
        <v>1822</v>
      </c>
      <c r="C36" s="72"/>
      <c r="D36" s="89"/>
      <c r="E36" s="85"/>
      <c r="F36" s="85"/>
      <c r="G36" s="85"/>
      <c r="K36" s="89"/>
      <c r="L36" s="85"/>
    </row>
    <row r="37" spans="2:12" ht="15">
      <c r="B37" s="85" t="s">
        <v>42</v>
      </c>
      <c r="C37" s="325"/>
      <c r="D37" s="114"/>
      <c r="E37" s="72">
        <v>200000</v>
      </c>
      <c r="F37" s="85"/>
      <c r="G37" s="85"/>
      <c r="H37" s="114"/>
      <c r="I37" s="114"/>
      <c r="J37" s="114"/>
      <c r="K37" s="114"/>
      <c r="L37" s="72">
        <v>200000</v>
      </c>
    </row>
    <row r="38" spans="2:12" ht="15">
      <c r="B38" s="85" t="s">
        <v>48</v>
      </c>
      <c r="C38" s="72">
        <v>113950</v>
      </c>
      <c r="D38" s="72">
        <v>113950</v>
      </c>
      <c r="E38" s="72"/>
      <c r="F38" s="85"/>
      <c r="G38" s="85"/>
      <c r="H38" s="114"/>
      <c r="I38" s="114"/>
      <c r="J38" s="114"/>
      <c r="K38" s="72">
        <v>113950</v>
      </c>
      <c r="L38" s="72"/>
    </row>
    <row r="39" spans="2:12" ht="15">
      <c r="B39" s="85" t="s">
        <v>49</v>
      </c>
      <c r="C39" s="72">
        <v>265641</v>
      </c>
      <c r="D39" s="72">
        <v>265641</v>
      </c>
      <c r="E39" s="89">
        <f>'INAC Funding'!L12</f>
        <v>0</v>
      </c>
      <c r="F39" s="85"/>
      <c r="G39" s="85"/>
      <c r="H39" s="114"/>
      <c r="I39" s="114"/>
      <c r="J39" s="114"/>
      <c r="K39" s="72">
        <v>265641</v>
      </c>
      <c r="L39" s="89">
        <f>'INAC Funding'!S12</f>
        <v>0</v>
      </c>
    </row>
    <row r="40" spans="2:12" ht="15">
      <c r="B40" s="85" t="s">
        <v>50</v>
      </c>
      <c r="C40" s="72">
        <v>695000</v>
      </c>
      <c r="D40" s="72">
        <v>695000</v>
      </c>
      <c r="E40" s="114"/>
      <c r="F40" s="114"/>
      <c r="G40" s="114"/>
      <c r="H40" s="114"/>
      <c r="I40" s="114"/>
      <c r="J40" s="114"/>
      <c r="K40" s="72">
        <v>695000</v>
      </c>
      <c r="L40" s="114"/>
    </row>
    <row r="41" spans="2:12" ht="15">
      <c r="B41" s="85" t="s">
        <v>51</v>
      </c>
      <c r="C41" s="72">
        <v>300000</v>
      </c>
      <c r="D41" s="72">
        <v>300000</v>
      </c>
      <c r="E41" s="85"/>
      <c r="F41" s="85"/>
      <c r="G41" s="85"/>
      <c r="H41" s="114"/>
      <c r="I41" s="114"/>
      <c r="J41" s="114"/>
      <c r="K41" s="72">
        <v>300000</v>
      </c>
      <c r="L41" s="85"/>
    </row>
    <row r="42" spans="2:12" ht="15">
      <c r="B42" s="85" t="s">
        <v>52</v>
      </c>
      <c r="C42" s="72">
        <v>118975</v>
      </c>
      <c r="D42" s="89">
        <v>10628</v>
      </c>
      <c r="E42" s="85"/>
      <c r="F42" s="85"/>
      <c r="G42" s="85"/>
      <c r="H42" s="114"/>
      <c r="I42" s="114"/>
      <c r="J42" s="114"/>
      <c r="K42" s="89">
        <v>9293</v>
      </c>
      <c r="L42" s="85"/>
    </row>
    <row r="43" spans="2:12" ht="15">
      <c r="B43" s="85" t="s">
        <v>999</v>
      </c>
      <c r="C43" s="72">
        <v>90000</v>
      </c>
      <c r="D43" s="72">
        <v>90000</v>
      </c>
      <c r="E43" s="89"/>
      <c r="F43" s="85"/>
      <c r="G43" s="85"/>
      <c r="H43" s="114"/>
      <c r="I43" s="114"/>
      <c r="J43" s="114"/>
      <c r="K43" s="72">
        <v>90000</v>
      </c>
      <c r="L43" s="89"/>
    </row>
    <row r="44" spans="2:12" ht="15">
      <c r="B44" s="85" t="s">
        <v>1000</v>
      </c>
      <c r="C44" s="72">
        <v>62200</v>
      </c>
      <c r="D44" s="72">
        <v>62200</v>
      </c>
      <c r="E44" s="89"/>
      <c r="F44" s="85"/>
      <c r="G44" s="85"/>
      <c r="H44" s="114"/>
      <c r="I44" s="114"/>
      <c r="J44" s="114"/>
      <c r="K44" s="72">
        <v>9000</v>
      </c>
      <c r="L44" s="89"/>
    </row>
    <row r="45" spans="2:12" ht="15">
      <c r="B45" s="85" t="s">
        <v>1026</v>
      </c>
      <c r="C45" s="72">
        <f>57036.63</f>
        <v>57036.63</v>
      </c>
      <c r="D45" s="72">
        <f>57036.63</f>
        <v>57036.63</v>
      </c>
      <c r="E45" s="89"/>
      <c r="F45" s="85"/>
      <c r="G45" s="85"/>
      <c r="H45" s="114"/>
      <c r="I45" s="114"/>
      <c r="J45" s="114"/>
      <c r="K45" s="72">
        <f>57036.63+11300</f>
        <v>68336.63</v>
      </c>
      <c r="L45" s="89"/>
    </row>
    <row r="46" spans="2:12" ht="15">
      <c r="B46" s="85" t="s">
        <v>1001</v>
      </c>
      <c r="C46" s="72">
        <v>72000</v>
      </c>
      <c r="D46" s="72">
        <v>72000</v>
      </c>
      <c r="E46" s="89"/>
      <c r="F46" s="85"/>
      <c r="G46" s="85"/>
      <c r="H46" s="114"/>
      <c r="I46" s="114"/>
      <c r="J46" s="114"/>
      <c r="K46" s="72">
        <v>72000</v>
      </c>
      <c r="L46" s="89"/>
    </row>
    <row r="47" spans="2:12" ht="15">
      <c r="B47" s="85" t="s">
        <v>1046</v>
      </c>
      <c r="C47" s="72"/>
      <c r="D47" s="89">
        <v>5000</v>
      </c>
      <c r="E47" s="89"/>
      <c r="F47" s="85"/>
      <c r="G47" s="85"/>
      <c r="H47" s="114"/>
      <c r="I47" s="114"/>
      <c r="J47" s="114"/>
      <c r="K47" s="89">
        <v>0</v>
      </c>
      <c r="L47" s="89"/>
    </row>
    <row r="48" spans="2:12" ht="15.75">
      <c r="B48" s="85" t="s">
        <v>1002</v>
      </c>
      <c r="C48" s="72">
        <v>150000</v>
      </c>
      <c r="D48" s="72">
        <v>150000</v>
      </c>
      <c r="E48" s="244"/>
      <c r="F48" s="85"/>
      <c r="G48" s="85"/>
      <c r="H48" s="114"/>
      <c r="I48" s="114"/>
      <c r="J48" s="114"/>
      <c r="K48" s="72">
        <v>150000</v>
      </c>
      <c r="L48" s="244"/>
    </row>
    <row r="49" spans="2:12" ht="15">
      <c r="B49" s="85"/>
      <c r="C49" s="72"/>
      <c r="D49" s="72"/>
      <c r="E49" s="85"/>
      <c r="F49" s="85"/>
      <c r="G49" s="85"/>
      <c r="K49" s="72"/>
      <c r="L49" s="85"/>
    </row>
    <row r="50" spans="2:12" ht="15.75">
      <c r="B50" s="85" t="s">
        <v>43</v>
      </c>
      <c r="C50" s="326">
        <f>SUM(C37:C48)</f>
        <v>1924802.63</v>
      </c>
      <c r="D50" s="326">
        <f>SUM(D37:D48)</f>
        <v>1821455.63</v>
      </c>
      <c r="E50" s="326">
        <f>SUM(E37:E48)</f>
        <v>200000</v>
      </c>
      <c r="F50" s="85"/>
      <c r="G50" s="85"/>
      <c r="K50" s="326">
        <f>SUM(K37:K48)</f>
        <v>1773220.63</v>
      </c>
      <c r="L50" s="326">
        <f>SUM(L37:L48)</f>
        <v>200000</v>
      </c>
    </row>
    <row r="51" spans="2:12" ht="15">
      <c r="B51" s="85"/>
      <c r="C51" s="72"/>
      <c r="D51" s="72"/>
      <c r="E51" s="85"/>
      <c r="F51" s="85"/>
      <c r="G51" s="85"/>
      <c r="K51" s="72"/>
      <c r="L51" s="85"/>
    </row>
    <row r="52" spans="2:12" ht="15">
      <c r="B52" s="85"/>
      <c r="C52" s="72"/>
      <c r="D52" s="72"/>
      <c r="E52" s="85"/>
      <c r="F52" s="85"/>
      <c r="G52" s="85"/>
      <c r="K52" s="72"/>
      <c r="L52" s="85"/>
    </row>
    <row r="53" spans="2:12" ht="16.5" thickBot="1">
      <c r="B53" s="314" t="s">
        <v>997</v>
      </c>
      <c r="C53" s="327">
        <f>SUM(C34-C50)</f>
        <v>2008069.37</v>
      </c>
      <c r="D53" s="327">
        <f>SUM(D34-D50)</f>
        <v>2259771.3200000012</v>
      </c>
      <c r="E53" s="327">
        <f>SUM(E34-E50)</f>
        <v>0</v>
      </c>
      <c r="F53" s="85"/>
      <c r="G53" s="85"/>
      <c r="K53" s="327">
        <f>SUM(K34-K50)</f>
        <v>2476233.3687500013</v>
      </c>
      <c r="L53" s="327">
        <f>L6-L32-L50</f>
        <v>0</v>
      </c>
    </row>
    <row r="54" spans="2:12" ht="15.75" thickTop="1">
      <c r="B54" s="85"/>
      <c r="C54" s="72"/>
      <c r="D54" s="85"/>
      <c r="E54" s="85"/>
      <c r="F54" s="85"/>
      <c r="G54" s="85"/>
      <c r="K54" s="85"/>
      <c r="L54" s="85"/>
    </row>
    <row r="55" spans="2:12" ht="15">
      <c r="B55" s="85"/>
      <c r="C55" s="72"/>
      <c r="D55" s="85"/>
      <c r="E55" s="85"/>
      <c r="F55" s="85"/>
      <c r="G55" s="85"/>
      <c r="K55" s="85"/>
      <c r="L55" s="85"/>
    </row>
  </sheetData>
  <pageMargins left="0.7" right="0.7" top="0.75" bottom="0.75" header="0.3" footer="0.3"/>
  <pageSetup scale="87" orientation="portrait" horizontalDpi="4294967293" verticalDpi="4294967293" r:id="rId1"/>
  <headerFooter scaleWithDoc="0">
    <oddHeader>&amp;CFISHER RIVER CREE NATION
BUDGET 2017-2018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1"/>
  <sheetViews>
    <sheetView showRuler="0" zoomScaleNormal="100" workbookViewId="0">
      <selection activeCell="A11" sqref="A11"/>
    </sheetView>
  </sheetViews>
  <sheetFormatPr defaultRowHeight="15.75"/>
  <cols>
    <col min="1" max="1" width="11.28515625" customWidth="1"/>
    <col min="2" max="2" width="15" customWidth="1"/>
    <col min="3" max="3" width="16.7109375" customWidth="1"/>
    <col min="5" max="5" width="17.5703125" style="328" customWidth="1"/>
  </cols>
  <sheetData>
    <row r="1" spans="1:5">
      <c r="A1" s="7"/>
      <c r="B1" s="8"/>
      <c r="C1" s="8"/>
      <c r="D1" s="8"/>
    </row>
    <row r="2" spans="1:5">
      <c r="A2" s="7" t="s">
        <v>0</v>
      </c>
      <c r="B2" s="8"/>
      <c r="C2" s="8"/>
      <c r="D2" s="8"/>
    </row>
    <row r="3" spans="1:5">
      <c r="A3" s="9"/>
      <c r="B3" s="10"/>
      <c r="C3" s="11"/>
      <c r="D3" s="8"/>
    </row>
    <row r="4" spans="1:5">
      <c r="B4" s="12"/>
      <c r="C4" s="8"/>
      <c r="D4" s="8"/>
    </row>
    <row r="5" spans="1:5" ht="16.5" thickBot="1">
      <c r="A5" s="13"/>
      <c r="B5" s="14"/>
      <c r="C5" s="8"/>
      <c r="D5" s="8"/>
      <c r="E5" s="329" t="s">
        <v>1</v>
      </c>
    </row>
    <row r="6" spans="1:5">
      <c r="A6" s="15" t="s">
        <v>2</v>
      </c>
      <c r="B6" s="14"/>
      <c r="C6" s="8"/>
      <c r="D6" s="8"/>
      <c r="E6" s="330" t="s">
        <v>1701</v>
      </c>
    </row>
    <row r="7" spans="1:5">
      <c r="B7" s="8"/>
      <c r="C7" s="8"/>
      <c r="D7" s="8"/>
      <c r="E7" s="331"/>
    </row>
    <row r="8" spans="1:5">
      <c r="B8" s="8"/>
      <c r="C8" s="8"/>
      <c r="D8" s="8"/>
    </row>
    <row r="9" spans="1:5">
      <c r="B9" s="8"/>
      <c r="C9" s="8"/>
      <c r="D9" s="8"/>
    </row>
    <row r="10" spans="1:5">
      <c r="A10" s="8" t="s">
        <v>1819</v>
      </c>
      <c r="B10" s="8"/>
      <c r="C10" s="8"/>
      <c r="D10" s="8"/>
    </row>
    <row r="11" spans="1:5">
      <c r="A11" s="8"/>
      <c r="B11" s="8"/>
      <c r="C11" s="8"/>
      <c r="D11" s="8"/>
    </row>
    <row r="12" spans="1:5">
      <c r="A12" s="18" t="s">
        <v>3</v>
      </c>
      <c r="B12" s="8"/>
      <c r="C12" s="8"/>
      <c r="D12" s="8"/>
      <c r="E12" s="328">
        <f>'Dept 1'!G119</f>
        <v>467803.96060757712</v>
      </c>
    </row>
    <row r="13" spans="1:5">
      <c r="A13" s="8"/>
      <c r="B13" s="8"/>
      <c r="C13" s="8"/>
      <c r="D13" s="8"/>
    </row>
    <row r="14" spans="1:5" s="2" customFormat="1">
      <c r="A14" s="19" t="s">
        <v>4</v>
      </c>
      <c r="B14" s="8"/>
      <c r="C14" s="8"/>
      <c r="D14" s="8"/>
      <c r="E14" s="328">
        <f>'Dept 4'!G34</f>
        <v>5536.5216666666965</v>
      </c>
    </row>
    <row r="15" spans="1:5" s="2" customFormat="1">
      <c r="A15" s="8"/>
      <c r="B15" s="8"/>
      <c r="C15" s="8"/>
      <c r="D15" s="8"/>
      <c r="E15" s="328"/>
    </row>
    <row r="16" spans="1:5" s="2" customFormat="1">
      <c r="A16" s="20" t="s">
        <v>1040</v>
      </c>
      <c r="B16" s="8"/>
      <c r="C16" s="8"/>
      <c r="D16" s="8"/>
      <c r="E16" s="328">
        <f>'Dept 5'!G30</f>
        <v>-1626.8800000000047</v>
      </c>
    </row>
    <row r="17" spans="1:5" s="2" customFormat="1">
      <c r="A17" s="20"/>
      <c r="B17" s="8"/>
      <c r="C17" s="8"/>
      <c r="D17" s="8"/>
      <c r="E17" s="328"/>
    </row>
    <row r="18" spans="1:5" s="2" customFormat="1">
      <c r="A18" s="19" t="s">
        <v>5</v>
      </c>
      <c r="B18" s="8"/>
      <c r="C18" s="8"/>
      <c r="D18" s="8"/>
      <c r="E18" s="328">
        <f>'Dept 6'!F34</f>
        <v>0</v>
      </c>
    </row>
    <row r="19" spans="1:5" s="2" customFormat="1">
      <c r="A19" s="8"/>
      <c r="B19" s="8"/>
      <c r="C19" s="8"/>
      <c r="D19" s="8"/>
      <c r="E19" s="328"/>
    </row>
    <row r="20" spans="1:5" s="2" customFormat="1">
      <c r="A20" s="8" t="s">
        <v>1031</v>
      </c>
      <c r="B20" s="8"/>
      <c r="C20" s="8"/>
      <c r="D20" s="8"/>
      <c r="E20" s="328">
        <f>'Dept 8'!G33</f>
        <v>-14000</v>
      </c>
    </row>
    <row r="21" spans="1:5" s="2" customFormat="1">
      <c r="A21" s="8"/>
      <c r="B21" s="8"/>
      <c r="C21" s="8"/>
      <c r="D21" s="8"/>
      <c r="E21" s="328"/>
    </row>
    <row r="22" spans="1:5" s="2" customFormat="1">
      <c r="A22" s="8" t="s">
        <v>1030</v>
      </c>
      <c r="B22" s="8"/>
      <c r="C22" s="8"/>
      <c r="D22" s="8"/>
      <c r="E22" s="328">
        <f>'Dept 10'!G39</f>
        <v>42600</v>
      </c>
    </row>
    <row r="23" spans="1:5" s="2" customFormat="1">
      <c r="A23" s="8"/>
      <c r="B23" s="8"/>
      <c r="C23" s="8"/>
      <c r="D23" s="8"/>
      <c r="E23" s="328"/>
    </row>
    <row r="24" spans="1:5" s="2" customFormat="1">
      <c r="A24" s="19" t="s">
        <v>1696</v>
      </c>
      <c r="B24" s="8"/>
      <c r="C24" s="8"/>
      <c r="D24" s="8"/>
      <c r="E24" s="328">
        <f>'Dept 11'!G46</f>
        <v>18929.190000000002</v>
      </c>
    </row>
    <row r="25" spans="1:5" s="2" customFormat="1">
      <c r="A25" s="8"/>
      <c r="B25" s="8"/>
      <c r="C25" s="8"/>
      <c r="D25" s="8"/>
      <c r="E25" s="328"/>
    </row>
    <row r="26" spans="1:5">
      <c r="A26" s="18" t="s">
        <v>1032</v>
      </c>
      <c r="B26" s="8"/>
      <c r="C26" s="8"/>
      <c r="D26" s="8"/>
      <c r="E26" s="328">
        <f>'Dept 12'!G58</f>
        <v>5454.2254083892331</v>
      </c>
    </row>
    <row r="27" spans="1:5">
      <c r="A27" s="8"/>
      <c r="B27" s="8"/>
      <c r="C27" s="8"/>
      <c r="D27" s="8"/>
    </row>
    <row r="28" spans="1:5">
      <c r="A28" s="18" t="s">
        <v>6</v>
      </c>
      <c r="B28" s="8"/>
      <c r="C28" s="8"/>
      <c r="D28" s="8"/>
      <c r="E28" s="328">
        <f>'Dept 13'!G64</f>
        <v>46690.930000000633</v>
      </c>
    </row>
    <row r="29" spans="1:5">
      <c r="A29" s="8"/>
      <c r="B29" s="8"/>
      <c r="C29" s="8"/>
      <c r="D29" s="8"/>
    </row>
    <row r="30" spans="1:5">
      <c r="A30" s="8" t="s">
        <v>7</v>
      </c>
      <c r="B30" s="8"/>
      <c r="C30" s="8"/>
      <c r="D30" s="8"/>
      <c r="E30" s="328">
        <f>'Dept 16'!G56</f>
        <v>-192544.05000000005</v>
      </c>
    </row>
    <row r="31" spans="1:5">
      <c r="A31" s="8"/>
      <c r="B31" s="8"/>
      <c r="C31" s="8"/>
      <c r="D31" s="8"/>
    </row>
    <row r="32" spans="1:5">
      <c r="A32" s="8" t="s">
        <v>1036</v>
      </c>
      <c r="B32" s="8"/>
      <c r="C32" s="8"/>
      <c r="D32" s="8"/>
      <c r="E32" s="328">
        <f>'Dept 18'!G29</f>
        <v>-0.100960000003397</v>
      </c>
    </row>
    <row r="33" spans="1:5">
      <c r="A33" s="8"/>
      <c r="B33" s="8"/>
      <c r="C33" s="8"/>
      <c r="D33" s="8"/>
    </row>
    <row r="34" spans="1:5">
      <c r="A34" s="8" t="s">
        <v>1035</v>
      </c>
      <c r="B34" s="8"/>
      <c r="C34" s="8"/>
      <c r="D34" s="8"/>
      <c r="E34" s="328">
        <f>'Dept 19'!G26</f>
        <v>0</v>
      </c>
    </row>
    <row r="35" spans="1:5">
      <c r="A35" s="8"/>
      <c r="B35" s="8"/>
      <c r="C35" s="8"/>
      <c r="D35" s="8"/>
    </row>
    <row r="36" spans="1:5" s="2" customFormat="1">
      <c r="A36" s="19" t="s">
        <v>8</v>
      </c>
      <c r="B36" s="8"/>
      <c r="C36" s="8"/>
      <c r="D36" s="8"/>
      <c r="E36" s="328">
        <f>'Dept 22'!G47</f>
        <v>3.3333315514028072E-5</v>
      </c>
    </row>
    <row r="37" spans="1:5" s="2" customFormat="1">
      <c r="A37" s="8"/>
      <c r="B37" s="8"/>
      <c r="C37" s="8"/>
      <c r="D37" s="8"/>
      <c r="E37" s="328"/>
    </row>
    <row r="38" spans="1:5" s="2" customFormat="1">
      <c r="A38" s="19" t="s">
        <v>9</v>
      </c>
      <c r="B38" s="8"/>
      <c r="C38" s="8"/>
      <c r="D38" s="8"/>
      <c r="E38" s="328">
        <f>'Dept 24'!G33</f>
        <v>0</v>
      </c>
    </row>
    <row r="39" spans="1:5" s="2" customFormat="1">
      <c r="A39" s="8"/>
      <c r="B39" s="8"/>
      <c r="C39" s="8"/>
      <c r="D39" s="8"/>
      <c r="E39" s="328"/>
    </row>
    <row r="40" spans="1:5" s="2" customFormat="1">
      <c r="A40" s="18" t="s">
        <v>1037</v>
      </c>
      <c r="B40" s="8"/>
      <c r="C40" s="8"/>
      <c r="D40" s="8"/>
      <c r="E40" s="328">
        <f>'Dept 32'!G40</f>
        <v>-45052.158266667742</v>
      </c>
    </row>
    <row r="41" spans="1:5" s="2" customFormat="1">
      <c r="A41" s="8"/>
      <c r="B41" s="8"/>
      <c r="C41" s="8"/>
      <c r="D41" s="8"/>
      <c r="E41" s="328"/>
    </row>
    <row r="42" spans="1:5" s="2" customFormat="1">
      <c r="A42" s="20" t="s">
        <v>1038</v>
      </c>
      <c r="B42" s="8"/>
      <c r="C42" s="8"/>
      <c r="D42" s="8"/>
      <c r="E42" s="328">
        <f>'Dept 34'!G46</f>
        <v>-25328.671666666691</v>
      </c>
    </row>
    <row r="43" spans="1:5" s="2" customFormat="1">
      <c r="A43" s="8"/>
      <c r="B43" s="8"/>
      <c r="C43" s="8"/>
      <c r="D43" s="8"/>
      <c r="E43" s="328"/>
    </row>
    <row r="44" spans="1:5" s="2" customFormat="1">
      <c r="A44" s="8" t="s">
        <v>10</v>
      </c>
      <c r="B44" s="8"/>
      <c r="C44" s="8"/>
      <c r="D44" s="8"/>
      <c r="E44" s="328">
        <f>'Dept 36'!G43</f>
        <v>-41877.446666666656</v>
      </c>
    </row>
    <row r="45" spans="1:5" s="2" customFormat="1">
      <c r="A45" s="8"/>
      <c r="B45" s="8"/>
      <c r="C45" s="8"/>
      <c r="D45" s="8"/>
      <c r="E45" s="328"/>
    </row>
    <row r="46" spans="1:5" s="2" customFormat="1">
      <c r="A46" s="8" t="s">
        <v>1039</v>
      </c>
      <c r="B46" s="8"/>
      <c r="C46" s="8"/>
      <c r="D46" s="8"/>
      <c r="E46" s="328">
        <f>'Dept 40'!G25</f>
        <v>-9250</v>
      </c>
    </row>
    <row r="47" spans="1:5" s="2" customFormat="1">
      <c r="A47" s="8"/>
      <c r="B47" s="8"/>
      <c r="C47" s="8"/>
      <c r="D47" s="8"/>
      <c r="E47" s="328"/>
    </row>
    <row r="48" spans="1:5" s="2" customFormat="1">
      <c r="A48" s="8" t="s">
        <v>1034</v>
      </c>
      <c r="B48" s="8"/>
      <c r="C48" s="8"/>
      <c r="D48" s="8"/>
      <c r="E48" s="328">
        <f>'Dept 52'!G25</f>
        <v>0</v>
      </c>
    </row>
    <row r="49" spans="1:5">
      <c r="A49" s="18"/>
      <c r="B49" s="8"/>
      <c r="C49" s="8"/>
      <c r="D49" s="8"/>
    </row>
    <row r="50" spans="1:5" s="2" customFormat="1">
      <c r="A50" s="8" t="s">
        <v>11</v>
      </c>
      <c r="B50" s="8"/>
      <c r="C50" s="8"/>
      <c r="D50" s="8"/>
      <c r="E50" s="328">
        <f>'Dept 58'!G42</f>
        <v>8918.4893546666717</v>
      </c>
    </row>
    <row r="51" spans="1:5" s="2" customFormat="1">
      <c r="A51" s="8"/>
      <c r="B51" s="8"/>
      <c r="C51" s="8"/>
      <c r="D51" s="8"/>
      <c r="E51" s="328"/>
    </row>
    <row r="52" spans="1:5" s="2" customFormat="1">
      <c r="A52" s="8" t="s">
        <v>1033</v>
      </c>
      <c r="B52" s="8"/>
      <c r="C52" s="8"/>
      <c r="D52" s="8"/>
      <c r="E52" s="332">
        <f>'Dept 84'!G33</f>
        <v>-3.3333333267364651E-3</v>
      </c>
    </row>
    <row r="53" spans="1:5" s="2" customFormat="1">
      <c r="A53" s="8"/>
      <c r="B53" s="8"/>
      <c r="C53" s="8"/>
      <c r="D53" s="8"/>
      <c r="E53" s="328"/>
    </row>
    <row r="54" spans="1:5">
      <c r="A54" s="8"/>
      <c r="B54" s="8"/>
      <c r="C54" s="8"/>
      <c r="D54" s="8"/>
    </row>
    <row r="55" spans="1:5">
      <c r="A55" s="7" t="s">
        <v>12</v>
      </c>
      <c r="B55" s="8"/>
      <c r="C55" s="8"/>
      <c r="D55" s="8"/>
      <c r="E55" s="333">
        <f>SUM(E10:E52)</f>
        <v>266254.00617729931</v>
      </c>
    </row>
    <row r="56" spans="1:5">
      <c r="A56" s="8"/>
      <c r="B56" s="8"/>
      <c r="C56" s="8"/>
      <c r="D56" s="8"/>
    </row>
    <row r="57" spans="1:5">
      <c r="A57" s="7"/>
      <c r="B57" s="8"/>
      <c r="C57" s="8"/>
      <c r="D57" s="8"/>
    </row>
    <row r="58" spans="1:5">
      <c r="A58" s="8"/>
      <c r="B58" s="8"/>
      <c r="C58" s="8"/>
      <c r="D58" s="8"/>
    </row>
    <row r="59" spans="1:5">
      <c r="A59" s="21"/>
      <c r="B59" s="8"/>
      <c r="C59" s="8"/>
      <c r="D59" s="8"/>
    </row>
    <row r="60" spans="1:5">
      <c r="A60" s="8"/>
      <c r="B60" s="8"/>
      <c r="C60" s="8"/>
      <c r="D60" s="8"/>
    </row>
    <row r="61" spans="1:5">
      <c r="A61" s="8"/>
      <c r="B61" s="8"/>
      <c r="C61" s="8"/>
      <c r="D61" s="8"/>
    </row>
    <row r="62" spans="1:5">
      <c r="A62" s="8"/>
      <c r="B62" s="8"/>
      <c r="C62" s="8"/>
      <c r="D62" s="8"/>
    </row>
    <row r="63" spans="1:5" s="2" customFormat="1">
      <c r="A63" s="8"/>
      <c r="B63" s="8"/>
      <c r="C63" s="8"/>
      <c r="D63" s="8"/>
      <c r="E63" s="328"/>
    </row>
    <row r="64" spans="1:5">
      <c r="A64" s="8"/>
      <c r="B64" s="8"/>
      <c r="C64" s="8"/>
      <c r="D64" s="8"/>
    </row>
    <row r="65" spans="1:5" s="2" customFormat="1">
      <c r="A65" s="8"/>
      <c r="B65" s="8"/>
      <c r="C65" s="8"/>
      <c r="D65" s="8"/>
      <c r="E65" s="328"/>
    </row>
    <row r="66" spans="1:5">
      <c r="A66" s="8"/>
      <c r="B66" s="8"/>
      <c r="C66" s="8"/>
      <c r="D66" s="8"/>
    </row>
    <row r="67" spans="1:5">
      <c r="A67" s="8"/>
      <c r="B67" s="8"/>
      <c r="C67" s="8"/>
      <c r="D67" s="8"/>
    </row>
    <row r="68" spans="1:5">
      <c r="A68" s="8"/>
      <c r="B68" s="8"/>
      <c r="C68" s="8"/>
      <c r="D68" s="8"/>
    </row>
    <row r="69" spans="1:5" s="2" customFormat="1">
      <c r="A69" s="8"/>
      <c r="B69" s="8"/>
      <c r="C69" s="8"/>
      <c r="D69" s="8"/>
      <c r="E69" s="328"/>
    </row>
    <row r="70" spans="1:5">
      <c r="A70" s="8"/>
      <c r="B70" s="8"/>
      <c r="C70" s="8"/>
      <c r="D70" s="8"/>
    </row>
    <row r="71" spans="1:5">
      <c r="A71" s="8"/>
      <c r="B71" s="8"/>
      <c r="C71" s="8"/>
      <c r="D71" s="8"/>
    </row>
    <row r="72" spans="1:5">
      <c r="A72" s="8"/>
      <c r="B72" s="8"/>
      <c r="C72" s="8"/>
      <c r="D72" s="8"/>
    </row>
    <row r="73" spans="1:5">
      <c r="A73" s="8"/>
      <c r="B73" s="8"/>
      <c r="C73" s="8"/>
      <c r="D73" s="8"/>
    </row>
    <row r="74" spans="1:5">
      <c r="A74" s="8"/>
      <c r="B74" s="8"/>
      <c r="C74" s="8"/>
      <c r="D74" s="8"/>
    </row>
    <row r="75" spans="1:5">
      <c r="A75" s="8"/>
      <c r="B75" s="8"/>
      <c r="C75" s="8"/>
      <c r="D75" s="8"/>
    </row>
    <row r="76" spans="1:5">
      <c r="A76" s="8"/>
      <c r="B76" s="8"/>
      <c r="C76" s="8"/>
      <c r="D76" s="8"/>
    </row>
    <row r="77" spans="1:5">
      <c r="A77" s="8"/>
      <c r="B77" s="8"/>
      <c r="C77" s="8"/>
      <c r="D77" s="8"/>
    </row>
    <row r="78" spans="1:5">
      <c r="A78" s="8"/>
      <c r="B78" s="8"/>
      <c r="C78" s="8"/>
      <c r="D78" s="8"/>
    </row>
    <row r="79" spans="1:5" s="2" customFormat="1">
      <c r="A79" s="8"/>
      <c r="B79" s="8"/>
      <c r="C79" s="8"/>
      <c r="D79" s="8"/>
      <c r="E79" s="328"/>
    </row>
    <row r="80" spans="1:5" s="22" customFormat="1">
      <c r="B80" s="7"/>
      <c r="C80" s="7"/>
      <c r="D80" s="7"/>
      <c r="E80" s="328"/>
    </row>
    <row r="81" spans="1:5" s="22" customFormat="1">
      <c r="B81" s="7"/>
      <c r="C81" s="7"/>
      <c r="D81" s="7"/>
      <c r="E81" s="328"/>
    </row>
    <row r="82" spans="1:5" s="22" customFormat="1">
      <c r="A82" s="8"/>
      <c r="B82" s="7"/>
      <c r="C82" s="7"/>
      <c r="D82" s="7"/>
      <c r="E82" s="328"/>
    </row>
    <row r="83" spans="1:5" s="22" customFormat="1">
      <c r="A83" s="8"/>
      <c r="B83" s="7"/>
      <c r="C83" s="7"/>
      <c r="D83" s="7"/>
      <c r="E83" s="328"/>
    </row>
    <row r="84" spans="1:5">
      <c r="B84" s="2"/>
    </row>
    <row r="85" spans="1:5" s="8" customFormat="1">
      <c r="E85" s="328"/>
    </row>
    <row r="86" spans="1:5" s="8" customFormat="1">
      <c r="E86" s="328"/>
    </row>
    <row r="87" spans="1:5" s="8" customFormat="1">
      <c r="E87" s="328"/>
    </row>
    <row r="88" spans="1:5" s="8" customFormat="1">
      <c r="E88" s="328"/>
    </row>
    <row r="89" spans="1:5" s="8" customFormat="1">
      <c r="E89" s="328"/>
    </row>
    <row r="90" spans="1:5" s="8" customFormat="1">
      <c r="E90" s="328"/>
    </row>
    <row r="91" spans="1:5" s="8" customFormat="1">
      <c r="E91" s="328"/>
    </row>
    <row r="92" spans="1:5" s="8" customFormat="1">
      <c r="E92" s="328"/>
    </row>
    <row r="93" spans="1:5" s="8" customFormat="1">
      <c r="E93" s="328"/>
    </row>
    <row r="94" spans="1:5" s="8" customFormat="1">
      <c r="E94" s="328"/>
    </row>
    <row r="95" spans="1:5" s="8" customFormat="1">
      <c r="E95" s="328"/>
    </row>
    <row r="96" spans="1:5" s="8" customFormat="1">
      <c r="E96" s="328"/>
    </row>
    <row r="97" spans="5:5" s="8" customFormat="1">
      <c r="E97" s="328"/>
    </row>
    <row r="98" spans="5:5" s="8" customFormat="1">
      <c r="E98" s="328"/>
    </row>
    <row r="99" spans="5:5" s="8" customFormat="1">
      <c r="E99" s="328"/>
    </row>
    <row r="100" spans="5:5" s="8" customFormat="1">
      <c r="E100" s="328"/>
    </row>
    <row r="101" spans="5:5" s="8" customFormat="1">
      <c r="E101" s="328"/>
    </row>
    <row r="102" spans="5:5" s="8" customFormat="1">
      <c r="E102" s="328"/>
    </row>
    <row r="103" spans="5:5" s="8" customFormat="1">
      <c r="E103" s="328"/>
    </row>
    <row r="104" spans="5:5" s="8" customFormat="1">
      <c r="E104" s="328"/>
    </row>
    <row r="105" spans="5:5" s="8" customFormat="1">
      <c r="E105" s="328"/>
    </row>
    <row r="106" spans="5:5" s="8" customFormat="1">
      <c r="E106" s="328"/>
    </row>
    <row r="107" spans="5:5" s="8" customFormat="1">
      <c r="E107" s="328"/>
    </row>
    <row r="108" spans="5:5" s="8" customFormat="1">
      <c r="E108" s="328"/>
    </row>
    <row r="109" spans="5:5" s="8" customFormat="1">
      <c r="E109" s="328"/>
    </row>
    <row r="110" spans="5:5" s="8" customFormat="1">
      <c r="E110" s="328"/>
    </row>
    <row r="111" spans="5:5" s="8" customFormat="1">
      <c r="E111" s="328"/>
    </row>
    <row r="112" spans="5:5" s="8" customFormat="1">
      <c r="E112" s="328"/>
    </row>
    <row r="113" spans="5:5" s="8" customFormat="1">
      <c r="E113" s="328"/>
    </row>
    <row r="114" spans="5:5" s="8" customFormat="1">
      <c r="E114" s="328"/>
    </row>
    <row r="115" spans="5:5" s="8" customFormat="1">
      <c r="E115" s="328"/>
    </row>
    <row r="116" spans="5:5" s="8" customFormat="1">
      <c r="E116" s="328"/>
    </row>
    <row r="117" spans="5:5" s="8" customFormat="1">
      <c r="E117" s="328"/>
    </row>
    <row r="118" spans="5:5" s="8" customFormat="1">
      <c r="E118" s="328"/>
    </row>
    <row r="119" spans="5:5" s="8" customFormat="1">
      <c r="E119" s="328"/>
    </row>
    <row r="120" spans="5:5" s="8" customFormat="1">
      <c r="E120" s="328"/>
    </row>
    <row r="121" spans="5:5" s="8" customFormat="1">
      <c r="E121" s="328"/>
    </row>
    <row r="122" spans="5:5" s="8" customFormat="1">
      <c r="E122" s="328"/>
    </row>
    <row r="123" spans="5:5" s="8" customFormat="1">
      <c r="E123" s="328"/>
    </row>
    <row r="124" spans="5:5" s="8" customFormat="1">
      <c r="E124" s="328"/>
    </row>
    <row r="125" spans="5:5" s="8" customFormat="1">
      <c r="E125" s="328"/>
    </row>
    <row r="126" spans="5:5" s="8" customFormat="1">
      <c r="E126" s="328"/>
    </row>
    <row r="127" spans="5:5" s="8" customFormat="1">
      <c r="E127" s="328"/>
    </row>
    <row r="128" spans="5:5" s="8" customFormat="1">
      <c r="E128" s="328"/>
    </row>
    <row r="129" spans="5:5" s="8" customFormat="1">
      <c r="E129" s="328"/>
    </row>
    <row r="130" spans="5:5" s="8" customFormat="1">
      <c r="E130" s="328"/>
    </row>
    <row r="131" spans="5:5" s="8" customFormat="1">
      <c r="E131" s="328"/>
    </row>
    <row r="132" spans="5:5" s="8" customFormat="1">
      <c r="E132" s="328"/>
    </row>
    <row r="133" spans="5:5" s="8" customFormat="1">
      <c r="E133" s="328"/>
    </row>
    <row r="134" spans="5:5" s="8" customFormat="1">
      <c r="E134" s="328"/>
    </row>
    <row r="135" spans="5:5" s="8" customFormat="1">
      <c r="E135" s="328"/>
    </row>
    <row r="136" spans="5:5" s="8" customFormat="1">
      <c r="E136" s="328"/>
    </row>
    <row r="137" spans="5:5" s="8" customFormat="1">
      <c r="E137" s="328"/>
    </row>
    <row r="138" spans="5:5" s="8" customFormat="1">
      <c r="E138" s="328"/>
    </row>
    <row r="139" spans="5:5" s="8" customFormat="1">
      <c r="E139" s="328"/>
    </row>
    <row r="140" spans="5:5" s="8" customFormat="1">
      <c r="E140" s="328"/>
    </row>
    <row r="141" spans="5:5" s="8" customFormat="1">
      <c r="E141" s="328"/>
    </row>
    <row r="142" spans="5:5" s="8" customFormat="1">
      <c r="E142" s="328"/>
    </row>
    <row r="143" spans="5:5" s="8" customFormat="1">
      <c r="E143" s="328"/>
    </row>
    <row r="144" spans="5:5" s="8" customFormat="1">
      <c r="E144" s="328"/>
    </row>
    <row r="145" spans="2:5" s="8" customFormat="1">
      <c r="E145" s="328"/>
    </row>
    <row r="146" spans="2:5" s="8" customFormat="1">
      <c r="E146" s="328"/>
    </row>
    <row r="147" spans="2:5" s="8" customFormat="1">
      <c r="E147" s="328"/>
    </row>
    <row r="148" spans="2:5" s="8" customFormat="1">
      <c r="E148" s="328"/>
    </row>
    <row r="149" spans="2:5" s="8" customFormat="1">
      <c r="E149" s="328"/>
    </row>
    <row r="150" spans="2:5" s="8" customFormat="1">
      <c r="E150" s="328"/>
    </row>
    <row r="151" spans="2:5" s="8" customFormat="1">
      <c r="E151" s="328"/>
    </row>
    <row r="152" spans="2:5" s="8" customFormat="1">
      <c r="B152" s="23"/>
      <c r="E152" s="328"/>
    </row>
    <row r="153" spans="2:5" s="8" customFormat="1">
      <c r="B153" s="23"/>
      <c r="E153" s="328"/>
    </row>
    <row r="154" spans="2:5" s="8" customFormat="1">
      <c r="B154" s="23"/>
      <c r="E154" s="328"/>
    </row>
    <row r="155" spans="2:5" s="8" customFormat="1">
      <c r="B155" s="23"/>
      <c r="E155" s="328"/>
    </row>
    <row r="156" spans="2:5" s="8" customFormat="1">
      <c r="B156" s="23"/>
      <c r="E156" s="328"/>
    </row>
    <row r="157" spans="2:5" s="8" customFormat="1">
      <c r="B157" s="23"/>
      <c r="E157" s="328"/>
    </row>
    <row r="158" spans="2:5" s="8" customFormat="1">
      <c r="E158" s="328"/>
    </row>
    <row r="159" spans="2:5" s="8" customFormat="1">
      <c r="E159" s="328"/>
    </row>
    <row r="160" spans="2:5" s="8" customFormat="1">
      <c r="E160" s="328"/>
    </row>
    <row r="161" spans="2:5" s="8" customFormat="1">
      <c r="E161" s="328"/>
    </row>
    <row r="162" spans="2:5" s="8" customFormat="1">
      <c r="E162" s="328"/>
    </row>
    <row r="163" spans="2:5" s="8" customFormat="1">
      <c r="B163" s="23"/>
      <c r="E163" s="328"/>
    </row>
    <row r="164" spans="2:5" s="8" customFormat="1">
      <c r="B164" s="23"/>
      <c r="E164" s="328"/>
    </row>
    <row r="165" spans="2:5" s="8" customFormat="1">
      <c r="B165" s="23"/>
      <c r="E165" s="328"/>
    </row>
    <row r="166" spans="2:5" s="8" customFormat="1">
      <c r="E166" s="328"/>
    </row>
    <row r="167" spans="2:5" s="8" customFormat="1">
      <c r="E167" s="328"/>
    </row>
    <row r="168" spans="2:5" s="8" customFormat="1">
      <c r="E168" s="328"/>
    </row>
    <row r="169" spans="2:5" s="8" customFormat="1">
      <c r="E169" s="328"/>
    </row>
    <row r="170" spans="2:5" s="8" customFormat="1">
      <c r="E170" s="328"/>
    </row>
    <row r="171" spans="2:5" s="8" customFormat="1">
      <c r="E171" s="328"/>
    </row>
    <row r="172" spans="2:5" s="8" customFormat="1">
      <c r="E172" s="328"/>
    </row>
    <row r="173" spans="2:5" s="8" customFormat="1">
      <c r="E173" s="328"/>
    </row>
    <row r="174" spans="2:5" s="8" customFormat="1">
      <c r="E174" s="328"/>
    </row>
    <row r="175" spans="2:5" s="8" customFormat="1">
      <c r="E175" s="328"/>
    </row>
    <row r="176" spans="2:5" s="8" customFormat="1">
      <c r="E176" s="328"/>
    </row>
    <row r="177" spans="2:5" s="8" customFormat="1">
      <c r="E177" s="328"/>
    </row>
    <row r="178" spans="2:5" s="8" customFormat="1">
      <c r="B178" s="7"/>
      <c r="E178" s="328"/>
    </row>
    <row r="179" spans="2:5" s="8" customFormat="1">
      <c r="E179" s="328"/>
    </row>
    <row r="180" spans="2:5" s="8" customFormat="1">
      <c r="E180" s="328"/>
    </row>
    <row r="181" spans="2:5" s="8" customFormat="1">
      <c r="E181" s="328"/>
    </row>
  </sheetData>
  <pageMargins left="0.74803149606299202" right="0.74803149606299202" top="0.98425196850393704" bottom="0.98425196850393704" header="0.511811023622047" footer="0.511811023622047"/>
  <pageSetup scale="77" firstPageNumber="3" orientation="portrait" horizontalDpi="4294967293" verticalDpi="4294967293" r:id="rId1"/>
  <headerFooter scaleWithDoc="0" alignWithMargins="0"/>
  <rowBreaks count="2" manualBreakCount="2">
    <brk id="56" max="16383" man="1"/>
    <brk id="5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topLeftCell="A4" zoomScaleNormal="100" workbookViewId="0">
      <selection activeCell="A29" sqref="A29"/>
    </sheetView>
  </sheetViews>
  <sheetFormatPr defaultRowHeight="12.75"/>
  <cols>
    <col min="1" max="1" width="11.28515625" customWidth="1"/>
    <col min="2" max="2" width="15" customWidth="1"/>
    <col min="3" max="3" width="21.28515625" customWidth="1"/>
    <col min="4" max="4" width="16.7109375" style="334" customWidth="1"/>
  </cols>
  <sheetData>
    <row r="2" spans="1:4" ht="15.75">
      <c r="A2" s="7" t="s">
        <v>1823</v>
      </c>
      <c r="B2" s="8"/>
      <c r="C2" s="8"/>
    </row>
    <row r="3" spans="1:4" ht="15.75">
      <c r="A3" s="7" t="s">
        <v>0</v>
      </c>
      <c r="B3" s="8"/>
      <c r="C3" s="8"/>
    </row>
    <row r="4" spans="1:4" ht="15.75">
      <c r="A4" s="9"/>
      <c r="B4" s="10"/>
      <c r="C4" s="11"/>
    </row>
    <row r="5" spans="1:4" ht="15.75">
      <c r="B5" s="12"/>
      <c r="C5" s="8"/>
    </row>
    <row r="6" spans="1:4" ht="16.5" thickBot="1">
      <c r="A6" s="13"/>
      <c r="B6" s="14"/>
      <c r="C6" s="8"/>
      <c r="D6" s="329" t="s">
        <v>1</v>
      </c>
    </row>
    <row r="7" spans="1:4" ht="15.75">
      <c r="A7" s="13"/>
      <c r="B7" s="14"/>
      <c r="C7" s="8"/>
      <c r="D7" s="330" t="s">
        <v>1701</v>
      </c>
    </row>
    <row r="8" spans="1:4" ht="15.75">
      <c r="A8" s="13"/>
      <c r="B8" s="14"/>
      <c r="C8" s="8"/>
      <c r="D8" s="335"/>
    </row>
    <row r="9" spans="1:4" ht="15.75">
      <c r="A9" s="7" t="s">
        <v>12</v>
      </c>
      <c r="B9" s="8"/>
      <c r="C9" s="8"/>
      <c r="D9" s="333">
        <f>'BUD Summary - Dept'!E55</f>
        <v>266254.00617729931</v>
      </c>
    </row>
    <row r="11" spans="1:4" ht="15">
      <c r="A11" s="21" t="s">
        <v>13</v>
      </c>
      <c r="B11" s="8"/>
      <c r="C11" s="8"/>
    </row>
    <row r="12" spans="1:4" ht="15">
      <c r="A12" s="8"/>
      <c r="B12" s="8"/>
      <c r="C12" s="8"/>
    </row>
    <row r="13" spans="1:4" ht="15.75">
      <c r="A13" s="8" t="s">
        <v>14</v>
      </c>
      <c r="B13" s="8"/>
      <c r="C13" s="8"/>
      <c r="D13" s="336">
        <f>Health!C94</f>
        <v>0.10000000009313226</v>
      </c>
    </row>
    <row r="14" spans="1:4" ht="15">
      <c r="A14" s="8"/>
      <c r="B14" s="8"/>
      <c r="C14" s="8"/>
    </row>
    <row r="15" spans="1:4" ht="15.75">
      <c r="A15" s="8" t="s">
        <v>15</v>
      </c>
      <c r="B15" s="8"/>
      <c r="C15" s="8"/>
      <c r="D15" s="328">
        <f>Education!B31</f>
        <v>-380867.70000000019</v>
      </c>
    </row>
    <row r="16" spans="1:4" ht="15">
      <c r="A16" s="8"/>
      <c r="B16" s="8"/>
      <c r="C16" s="8"/>
    </row>
    <row r="17" spans="1:4" ht="15.75">
      <c r="A17" s="8" t="s">
        <v>16</v>
      </c>
      <c r="B17" s="8"/>
      <c r="C17" s="8"/>
      <c r="D17" s="328">
        <f>'CMHC Housing'!G88</f>
        <v>280726.66000000108</v>
      </c>
    </row>
    <row r="18" spans="1:4" ht="15">
      <c r="A18" s="8"/>
      <c r="B18" s="8"/>
      <c r="C18" s="8"/>
    </row>
    <row r="19" spans="1:4" ht="15.75">
      <c r="A19" s="8" t="s">
        <v>38</v>
      </c>
      <c r="B19" s="8"/>
      <c r="C19" s="8"/>
      <c r="D19" s="328">
        <f>PCH!B47</f>
        <v>-55929.398750000633</v>
      </c>
    </row>
    <row r="20" spans="1:4" ht="15">
      <c r="A20" s="8"/>
      <c r="B20" s="8"/>
      <c r="C20" s="8"/>
    </row>
    <row r="21" spans="1:4" ht="15">
      <c r="A21" s="8" t="s">
        <v>17</v>
      </c>
      <c r="B21" s="8"/>
      <c r="C21" s="8"/>
      <c r="D21" s="337">
        <f>'Healing Centre'!F42</f>
        <v>0</v>
      </c>
    </row>
    <row r="22" spans="1:4" ht="15">
      <c r="A22" s="8"/>
      <c r="B22" s="8"/>
      <c r="C22" s="8"/>
    </row>
    <row r="23" spans="1:4" ht="15.75">
      <c r="A23" s="8" t="s">
        <v>20</v>
      </c>
      <c r="B23" s="8"/>
      <c r="C23" s="8"/>
      <c r="D23" s="328">
        <f>'Post Office'!G32</f>
        <v>4958.0320000000356</v>
      </c>
    </row>
    <row r="24" spans="1:4" ht="15">
      <c r="A24" s="8"/>
      <c r="B24" s="8"/>
      <c r="C24" s="8"/>
    </row>
    <row r="25" spans="1:4" ht="15">
      <c r="A25" s="8" t="s">
        <v>1265</v>
      </c>
      <c r="B25" s="8"/>
      <c r="C25" s="8"/>
      <c r="D25" s="156">
        <f>Gaming!D23</f>
        <v>0</v>
      </c>
    </row>
    <row r="26" spans="1:4" ht="15">
      <c r="A26" s="8"/>
      <c r="B26" s="8"/>
      <c r="C26" s="8"/>
      <c r="D26" s="156"/>
    </row>
    <row r="27" spans="1:4" ht="15.75">
      <c r="A27" s="8" t="s">
        <v>18</v>
      </c>
      <c r="B27" s="8"/>
      <c r="C27" s="8"/>
      <c r="D27" s="338">
        <f>'S&amp;R - Admin'!G33+'S&amp;R - Bingo'!G35</f>
        <v>0</v>
      </c>
    </row>
    <row r="28" spans="1:4" ht="15">
      <c r="A28" s="8"/>
      <c r="B28" s="8"/>
      <c r="C28" s="8"/>
    </row>
    <row r="29" spans="1:4" ht="16.5" thickBot="1">
      <c r="A29" s="7" t="s">
        <v>1878</v>
      </c>
      <c r="B29" s="8"/>
      <c r="C29" s="8"/>
      <c r="D29" s="339">
        <f>SUM(D9:D28)</f>
        <v>115141.6994272997</v>
      </c>
    </row>
    <row r="30" spans="1:4" ht="15.75" thickTop="1">
      <c r="B30" s="8"/>
      <c r="C30" s="8"/>
      <c r="D30" s="337"/>
    </row>
    <row r="31" spans="1:4">
      <c r="A31" s="22"/>
      <c r="B31" s="22"/>
      <c r="C31" s="22"/>
      <c r="D31" s="156"/>
    </row>
    <row r="32" spans="1:4" ht="15.75">
      <c r="A32" s="22"/>
      <c r="B32" s="7" t="s">
        <v>19</v>
      </c>
      <c r="C32" s="7"/>
      <c r="D32" s="328">
        <f>SUM(D29:D31)</f>
        <v>115141.6994272997</v>
      </c>
    </row>
    <row r="33" spans="1:12" ht="15.75">
      <c r="A33" s="22"/>
      <c r="B33" s="7"/>
      <c r="C33" s="7"/>
      <c r="D33" s="328"/>
    </row>
    <row r="34" spans="1:12" ht="15.75">
      <c r="A34" s="8" t="s">
        <v>1824</v>
      </c>
      <c r="B34" s="8"/>
      <c r="C34" s="8"/>
      <c r="D34" s="328">
        <f>FRED!N37</f>
        <v>585173.07849999983</v>
      </c>
    </row>
    <row r="35" spans="1:12" ht="15">
      <c r="A35" s="8"/>
      <c r="B35" s="8"/>
      <c r="C35" s="8"/>
    </row>
    <row r="36" spans="1:12" s="24" customFormat="1" ht="15.75">
      <c r="A36" s="85" t="s">
        <v>1515</v>
      </c>
      <c r="B36" s="85"/>
      <c r="C36" s="85"/>
      <c r="D36" s="328">
        <f>D32+D34</f>
        <v>700314.7779272995</v>
      </c>
      <c r="E36" s="71"/>
      <c r="F36" s="71"/>
      <c r="G36" s="71"/>
      <c r="H36" s="71"/>
      <c r="I36" s="71"/>
      <c r="J36" s="71"/>
      <c r="K36" s="71"/>
      <c r="L36" s="71"/>
    </row>
    <row r="37" spans="1:12" ht="15">
      <c r="A37" s="8"/>
      <c r="B37" s="8"/>
      <c r="C37" s="8"/>
    </row>
    <row r="38" spans="1:12" ht="15">
      <c r="B38" s="8"/>
      <c r="C38" s="8"/>
      <c r="D38" s="337"/>
    </row>
    <row r="39" spans="1:12" ht="15">
      <c r="A39" s="8"/>
      <c r="B39" s="22"/>
      <c r="C39" s="22"/>
      <c r="D39" s="156"/>
    </row>
    <row r="40" spans="1:12" ht="15.75">
      <c r="A40" s="22"/>
      <c r="B40" s="7"/>
      <c r="C40" s="7"/>
      <c r="D40" s="328"/>
    </row>
    <row r="41" spans="1:12" ht="15.75">
      <c r="B41" s="7"/>
      <c r="C41" s="7"/>
      <c r="D41" s="156"/>
    </row>
    <row r="42" spans="1:12" ht="15.75">
      <c r="A42" s="8"/>
      <c r="B42" s="7"/>
      <c r="C42" s="7"/>
      <c r="D42" s="156"/>
    </row>
  </sheetData>
  <pageMargins left="0.70866141732283505" right="0.70866141732283505" top="0.74803149606299202" bottom="0.74803149606299202" header="0.31496062992126" footer="0.31496062992126"/>
  <pageSetup scale="70" fitToHeight="2" orientation="portrait" horizontalDpi="4294967293" verticalDpi="4294967293" r:id="rId1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0"/>
  <sheetViews>
    <sheetView zoomScale="150" zoomScaleNormal="150" workbookViewId="0">
      <selection activeCell="A55" sqref="A55"/>
    </sheetView>
  </sheetViews>
  <sheetFormatPr defaultRowHeight="12.75"/>
  <cols>
    <col min="1" max="1" width="46.42578125" bestFit="1" customWidth="1"/>
    <col min="2" max="2" width="8.7109375" customWidth="1"/>
    <col min="3" max="5" width="14.28515625" hidden="1" customWidth="1"/>
    <col min="6" max="6" width="14.28515625" customWidth="1"/>
    <col min="7" max="7" width="12.42578125" style="59" bestFit="1" customWidth="1"/>
    <col min="8" max="8" width="39.42578125" customWidth="1"/>
    <col min="255" max="255" width="46.42578125" bestFit="1" customWidth="1"/>
    <col min="256" max="256" width="8.7109375" customWidth="1"/>
    <col min="257" max="261" width="14.28515625" customWidth="1"/>
    <col min="511" max="511" width="46.42578125" bestFit="1" customWidth="1"/>
    <col min="512" max="512" width="8.7109375" customWidth="1"/>
    <col min="513" max="517" width="14.28515625" customWidth="1"/>
    <col min="767" max="767" width="46.42578125" bestFit="1" customWidth="1"/>
    <col min="768" max="768" width="8.7109375" customWidth="1"/>
    <col min="769" max="773" width="14.28515625" customWidth="1"/>
    <col min="1023" max="1023" width="46.42578125" bestFit="1" customWidth="1"/>
    <col min="1024" max="1024" width="8.7109375" customWidth="1"/>
    <col min="1025" max="1029" width="14.28515625" customWidth="1"/>
    <col min="1279" max="1279" width="46.42578125" bestFit="1" customWidth="1"/>
    <col min="1280" max="1280" width="8.7109375" customWidth="1"/>
    <col min="1281" max="1285" width="14.28515625" customWidth="1"/>
    <col min="1535" max="1535" width="46.42578125" bestFit="1" customWidth="1"/>
    <col min="1536" max="1536" width="8.7109375" customWidth="1"/>
    <col min="1537" max="1541" width="14.28515625" customWidth="1"/>
    <col min="1791" max="1791" width="46.42578125" bestFit="1" customWidth="1"/>
    <col min="1792" max="1792" width="8.7109375" customWidth="1"/>
    <col min="1793" max="1797" width="14.28515625" customWidth="1"/>
    <col min="2047" max="2047" width="46.42578125" bestFit="1" customWidth="1"/>
    <col min="2048" max="2048" width="8.7109375" customWidth="1"/>
    <col min="2049" max="2053" width="14.28515625" customWidth="1"/>
    <col min="2303" max="2303" width="46.42578125" bestFit="1" customWidth="1"/>
    <col min="2304" max="2304" width="8.7109375" customWidth="1"/>
    <col min="2305" max="2309" width="14.28515625" customWidth="1"/>
    <col min="2559" max="2559" width="46.42578125" bestFit="1" customWidth="1"/>
    <col min="2560" max="2560" width="8.7109375" customWidth="1"/>
    <col min="2561" max="2565" width="14.28515625" customWidth="1"/>
    <col min="2815" max="2815" width="46.42578125" bestFit="1" customWidth="1"/>
    <col min="2816" max="2816" width="8.7109375" customWidth="1"/>
    <col min="2817" max="2821" width="14.28515625" customWidth="1"/>
    <col min="3071" max="3071" width="46.42578125" bestFit="1" customWidth="1"/>
    <col min="3072" max="3072" width="8.7109375" customWidth="1"/>
    <col min="3073" max="3077" width="14.28515625" customWidth="1"/>
    <col min="3327" max="3327" width="46.42578125" bestFit="1" customWidth="1"/>
    <col min="3328" max="3328" width="8.7109375" customWidth="1"/>
    <col min="3329" max="3333" width="14.28515625" customWidth="1"/>
    <col min="3583" max="3583" width="46.42578125" bestFit="1" customWidth="1"/>
    <col min="3584" max="3584" width="8.7109375" customWidth="1"/>
    <col min="3585" max="3589" width="14.28515625" customWidth="1"/>
    <col min="3839" max="3839" width="46.42578125" bestFit="1" customWidth="1"/>
    <col min="3840" max="3840" width="8.7109375" customWidth="1"/>
    <col min="3841" max="3845" width="14.28515625" customWidth="1"/>
    <col min="4095" max="4095" width="46.42578125" bestFit="1" customWidth="1"/>
    <col min="4096" max="4096" width="8.7109375" customWidth="1"/>
    <col min="4097" max="4101" width="14.28515625" customWidth="1"/>
    <col min="4351" max="4351" width="46.42578125" bestFit="1" customWidth="1"/>
    <col min="4352" max="4352" width="8.7109375" customWidth="1"/>
    <col min="4353" max="4357" width="14.28515625" customWidth="1"/>
    <col min="4607" max="4607" width="46.42578125" bestFit="1" customWidth="1"/>
    <col min="4608" max="4608" width="8.7109375" customWidth="1"/>
    <col min="4609" max="4613" width="14.28515625" customWidth="1"/>
    <col min="4863" max="4863" width="46.42578125" bestFit="1" customWidth="1"/>
    <col min="4864" max="4864" width="8.7109375" customWidth="1"/>
    <col min="4865" max="4869" width="14.28515625" customWidth="1"/>
    <col min="5119" max="5119" width="46.42578125" bestFit="1" customWidth="1"/>
    <col min="5120" max="5120" width="8.7109375" customWidth="1"/>
    <col min="5121" max="5125" width="14.28515625" customWidth="1"/>
    <col min="5375" max="5375" width="46.42578125" bestFit="1" customWidth="1"/>
    <col min="5376" max="5376" width="8.7109375" customWidth="1"/>
    <col min="5377" max="5381" width="14.28515625" customWidth="1"/>
    <col min="5631" max="5631" width="46.42578125" bestFit="1" customWidth="1"/>
    <col min="5632" max="5632" width="8.7109375" customWidth="1"/>
    <col min="5633" max="5637" width="14.28515625" customWidth="1"/>
    <col min="5887" max="5887" width="46.42578125" bestFit="1" customWidth="1"/>
    <col min="5888" max="5888" width="8.7109375" customWidth="1"/>
    <col min="5889" max="5893" width="14.28515625" customWidth="1"/>
    <col min="6143" max="6143" width="46.42578125" bestFit="1" customWidth="1"/>
    <col min="6144" max="6144" width="8.7109375" customWidth="1"/>
    <col min="6145" max="6149" width="14.28515625" customWidth="1"/>
    <col min="6399" max="6399" width="46.42578125" bestFit="1" customWidth="1"/>
    <col min="6400" max="6400" width="8.7109375" customWidth="1"/>
    <col min="6401" max="6405" width="14.28515625" customWidth="1"/>
    <col min="6655" max="6655" width="46.42578125" bestFit="1" customWidth="1"/>
    <col min="6656" max="6656" width="8.7109375" customWidth="1"/>
    <col min="6657" max="6661" width="14.28515625" customWidth="1"/>
    <col min="6911" max="6911" width="46.42578125" bestFit="1" customWidth="1"/>
    <col min="6912" max="6912" width="8.7109375" customWidth="1"/>
    <col min="6913" max="6917" width="14.28515625" customWidth="1"/>
    <col min="7167" max="7167" width="46.42578125" bestFit="1" customWidth="1"/>
    <col min="7168" max="7168" width="8.7109375" customWidth="1"/>
    <col min="7169" max="7173" width="14.28515625" customWidth="1"/>
    <col min="7423" max="7423" width="46.42578125" bestFit="1" customWidth="1"/>
    <col min="7424" max="7424" width="8.7109375" customWidth="1"/>
    <col min="7425" max="7429" width="14.28515625" customWidth="1"/>
    <col min="7679" max="7679" width="46.42578125" bestFit="1" customWidth="1"/>
    <col min="7680" max="7680" width="8.7109375" customWidth="1"/>
    <col min="7681" max="7685" width="14.28515625" customWidth="1"/>
    <col min="7935" max="7935" width="46.42578125" bestFit="1" customWidth="1"/>
    <col min="7936" max="7936" width="8.7109375" customWidth="1"/>
    <col min="7937" max="7941" width="14.28515625" customWidth="1"/>
    <col min="8191" max="8191" width="46.42578125" bestFit="1" customWidth="1"/>
    <col min="8192" max="8192" width="8.7109375" customWidth="1"/>
    <col min="8193" max="8197" width="14.28515625" customWidth="1"/>
    <col min="8447" max="8447" width="46.42578125" bestFit="1" customWidth="1"/>
    <col min="8448" max="8448" width="8.7109375" customWidth="1"/>
    <col min="8449" max="8453" width="14.28515625" customWidth="1"/>
    <col min="8703" max="8703" width="46.42578125" bestFit="1" customWidth="1"/>
    <col min="8704" max="8704" width="8.7109375" customWidth="1"/>
    <col min="8705" max="8709" width="14.28515625" customWidth="1"/>
    <col min="8959" max="8959" width="46.42578125" bestFit="1" customWidth="1"/>
    <col min="8960" max="8960" width="8.7109375" customWidth="1"/>
    <col min="8961" max="8965" width="14.28515625" customWidth="1"/>
    <col min="9215" max="9215" width="46.42578125" bestFit="1" customWidth="1"/>
    <col min="9216" max="9216" width="8.7109375" customWidth="1"/>
    <col min="9217" max="9221" width="14.28515625" customWidth="1"/>
    <col min="9471" max="9471" width="46.42578125" bestFit="1" customWidth="1"/>
    <col min="9472" max="9472" width="8.7109375" customWidth="1"/>
    <col min="9473" max="9477" width="14.28515625" customWidth="1"/>
    <col min="9727" max="9727" width="46.42578125" bestFit="1" customWidth="1"/>
    <col min="9728" max="9728" width="8.7109375" customWidth="1"/>
    <col min="9729" max="9733" width="14.28515625" customWidth="1"/>
    <col min="9983" max="9983" width="46.42578125" bestFit="1" customWidth="1"/>
    <col min="9984" max="9984" width="8.7109375" customWidth="1"/>
    <col min="9985" max="9989" width="14.28515625" customWidth="1"/>
    <col min="10239" max="10239" width="46.42578125" bestFit="1" customWidth="1"/>
    <col min="10240" max="10240" width="8.7109375" customWidth="1"/>
    <col min="10241" max="10245" width="14.28515625" customWidth="1"/>
    <col min="10495" max="10495" width="46.42578125" bestFit="1" customWidth="1"/>
    <col min="10496" max="10496" width="8.7109375" customWidth="1"/>
    <col min="10497" max="10501" width="14.28515625" customWidth="1"/>
    <col min="10751" max="10751" width="46.42578125" bestFit="1" customWidth="1"/>
    <col min="10752" max="10752" width="8.7109375" customWidth="1"/>
    <col min="10753" max="10757" width="14.28515625" customWidth="1"/>
    <col min="11007" max="11007" width="46.42578125" bestFit="1" customWidth="1"/>
    <col min="11008" max="11008" width="8.7109375" customWidth="1"/>
    <col min="11009" max="11013" width="14.28515625" customWidth="1"/>
    <col min="11263" max="11263" width="46.42578125" bestFit="1" customWidth="1"/>
    <col min="11264" max="11264" width="8.7109375" customWidth="1"/>
    <col min="11265" max="11269" width="14.28515625" customWidth="1"/>
    <col min="11519" max="11519" width="46.42578125" bestFit="1" customWidth="1"/>
    <col min="11520" max="11520" width="8.7109375" customWidth="1"/>
    <col min="11521" max="11525" width="14.28515625" customWidth="1"/>
    <col min="11775" max="11775" width="46.42578125" bestFit="1" customWidth="1"/>
    <col min="11776" max="11776" width="8.7109375" customWidth="1"/>
    <col min="11777" max="11781" width="14.28515625" customWidth="1"/>
    <col min="12031" max="12031" width="46.42578125" bestFit="1" customWidth="1"/>
    <col min="12032" max="12032" width="8.7109375" customWidth="1"/>
    <col min="12033" max="12037" width="14.28515625" customWidth="1"/>
    <col min="12287" max="12287" width="46.42578125" bestFit="1" customWidth="1"/>
    <col min="12288" max="12288" width="8.7109375" customWidth="1"/>
    <col min="12289" max="12293" width="14.28515625" customWidth="1"/>
    <col min="12543" max="12543" width="46.42578125" bestFit="1" customWidth="1"/>
    <col min="12544" max="12544" width="8.7109375" customWidth="1"/>
    <col min="12545" max="12549" width="14.28515625" customWidth="1"/>
    <col min="12799" max="12799" width="46.42578125" bestFit="1" customWidth="1"/>
    <col min="12800" max="12800" width="8.7109375" customWidth="1"/>
    <col min="12801" max="12805" width="14.28515625" customWidth="1"/>
    <col min="13055" max="13055" width="46.42578125" bestFit="1" customWidth="1"/>
    <col min="13056" max="13056" width="8.7109375" customWidth="1"/>
    <col min="13057" max="13061" width="14.28515625" customWidth="1"/>
    <col min="13311" max="13311" width="46.42578125" bestFit="1" customWidth="1"/>
    <col min="13312" max="13312" width="8.7109375" customWidth="1"/>
    <col min="13313" max="13317" width="14.28515625" customWidth="1"/>
    <col min="13567" max="13567" width="46.42578125" bestFit="1" customWidth="1"/>
    <col min="13568" max="13568" width="8.7109375" customWidth="1"/>
    <col min="13569" max="13573" width="14.28515625" customWidth="1"/>
    <col min="13823" max="13823" width="46.42578125" bestFit="1" customWidth="1"/>
    <col min="13824" max="13824" width="8.7109375" customWidth="1"/>
    <col min="13825" max="13829" width="14.28515625" customWidth="1"/>
    <col min="14079" max="14079" width="46.42578125" bestFit="1" customWidth="1"/>
    <col min="14080" max="14080" width="8.7109375" customWidth="1"/>
    <col min="14081" max="14085" width="14.28515625" customWidth="1"/>
    <col min="14335" max="14335" width="46.42578125" bestFit="1" customWidth="1"/>
    <col min="14336" max="14336" width="8.7109375" customWidth="1"/>
    <col min="14337" max="14341" width="14.28515625" customWidth="1"/>
    <col min="14591" max="14591" width="46.42578125" bestFit="1" customWidth="1"/>
    <col min="14592" max="14592" width="8.7109375" customWidth="1"/>
    <col min="14593" max="14597" width="14.28515625" customWidth="1"/>
    <col min="14847" max="14847" width="46.42578125" bestFit="1" customWidth="1"/>
    <col min="14848" max="14848" width="8.7109375" customWidth="1"/>
    <col min="14849" max="14853" width="14.28515625" customWidth="1"/>
    <col min="15103" max="15103" width="46.42578125" bestFit="1" customWidth="1"/>
    <col min="15104" max="15104" width="8.7109375" customWidth="1"/>
    <col min="15105" max="15109" width="14.28515625" customWidth="1"/>
    <col min="15359" max="15359" width="46.42578125" bestFit="1" customWidth="1"/>
    <col min="15360" max="15360" width="8.7109375" customWidth="1"/>
    <col min="15361" max="15365" width="14.28515625" customWidth="1"/>
    <col min="15615" max="15615" width="46.42578125" bestFit="1" customWidth="1"/>
    <col min="15616" max="15616" width="8.7109375" customWidth="1"/>
    <col min="15617" max="15621" width="14.28515625" customWidth="1"/>
    <col min="15871" max="15871" width="46.42578125" bestFit="1" customWidth="1"/>
    <col min="15872" max="15872" width="8.7109375" customWidth="1"/>
    <col min="15873" max="15877" width="14.28515625" customWidth="1"/>
    <col min="16127" max="16127" width="46.42578125" bestFit="1" customWidth="1"/>
    <col min="16128" max="16128" width="8.7109375" customWidth="1"/>
    <col min="16129" max="16133" width="14.28515625" customWidth="1"/>
  </cols>
  <sheetData>
    <row r="2" spans="1:8" ht="15">
      <c r="A2" s="35" t="s">
        <v>1825</v>
      </c>
      <c r="B2" s="34"/>
      <c r="C2" s="34"/>
      <c r="D2" s="34"/>
      <c r="E2" s="34"/>
      <c r="F2" s="34"/>
    </row>
    <row r="3" spans="1:8" ht="15">
      <c r="A3" s="341" t="s">
        <v>53</v>
      </c>
      <c r="B3" s="341"/>
      <c r="C3" s="341"/>
      <c r="D3" s="341"/>
      <c r="E3" s="341"/>
      <c r="F3" s="341"/>
    </row>
    <row r="4" spans="1:8" ht="15" hidden="1">
      <c r="A4" s="36" t="s">
        <v>54</v>
      </c>
      <c r="B4" s="34"/>
      <c r="C4" s="34"/>
      <c r="D4" s="34"/>
      <c r="E4" s="34"/>
      <c r="F4" s="34"/>
    </row>
    <row r="5" spans="1:8" hidden="1">
      <c r="A5" s="37" t="s">
        <v>54</v>
      </c>
      <c r="B5" s="34"/>
      <c r="C5" s="34"/>
      <c r="D5" s="34"/>
      <c r="E5" s="34"/>
      <c r="F5" s="34"/>
    </row>
    <row r="6" spans="1:8" hidden="1">
      <c r="A6" s="342">
        <v>42460</v>
      </c>
      <c r="B6" s="342"/>
      <c r="C6" s="342"/>
      <c r="D6" s="342"/>
      <c r="E6" s="342"/>
      <c r="F6" s="342"/>
    </row>
    <row r="7" spans="1:8">
      <c r="A7" s="38"/>
      <c r="B7" s="38"/>
      <c r="C7" s="38"/>
      <c r="D7" s="38"/>
      <c r="E7" s="38"/>
      <c r="F7" s="38"/>
    </row>
    <row r="8" spans="1:8" ht="13.5" thickBot="1">
      <c r="C8" s="17" t="s">
        <v>251</v>
      </c>
      <c r="D8" s="17" t="s">
        <v>251</v>
      </c>
      <c r="E8" s="17" t="s">
        <v>251</v>
      </c>
      <c r="F8" s="249" t="s">
        <v>44</v>
      </c>
      <c r="G8" s="248" t="s">
        <v>1701</v>
      </c>
    </row>
    <row r="9" spans="1:8" ht="13.5" thickTop="1">
      <c r="A9" s="39"/>
      <c r="B9" s="40"/>
      <c r="C9" s="41" t="s">
        <v>55</v>
      </c>
      <c r="D9" s="41" t="s">
        <v>55</v>
      </c>
      <c r="E9" s="41" t="s">
        <v>55</v>
      </c>
      <c r="F9" s="250"/>
      <c r="G9" s="61"/>
    </row>
    <row r="10" spans="1:8" ht="13.5" thickBot="1">
      <c r="A10" s="42"/>
      <c r="B10" s="43"/>
      <c r="C10" s="44" t="s">
        <v>58</v>
      </c>
      <c r="D10" s="44" t="s">
        <v>57</v>
      </c>
      <c r="E10" s="44" t="s">
        <v>59</v>
      </c>
      <c r="F10" s="251" t="s">
        <v>57</v>
      </c>
      <c r="G10" s="62" t="s">
        <v>57</v>
      </c>
      <c r="H10" s="55" t="s">
        <v>252</v>
      </c>
    </row>
    <row r="11" spans="1:8" ht="13.5" thickTop="1">
      <c r="A11" s="45" t="s">
        <v>60</v>
      </c>
      <c r="B11" s="46"/>
      <c r="C11" s="47"/>
      <c r="D11" s="47"/>
      <c r="E11" s="47"/>
      <c r="F11" s="252"/>
    </row>
    <row r="12" spans="1:8">
      <c r="A12" s="30" t="s">
        <v>61</v>
      </c>
      <c r="B12" s="30" t="s">
        <v>62</v>
      </c>
      <c r="C12" s="48">
        <v>0</v>
      </c>
      <c r="D12" s="48">
        <v>2439306</v>
      </c>
      <c r="E12" s="48">
        <v>2439306</v>
      </c>
      <c r="F12" s="253">
        <v>2259771.3200000012</v>
      </c>
      <c r="G12" s="73">
        <f>'Fund Distributions'!K53</f>
        <v>2476233.3687500013</v>
      </c>
      <c r="H12" t="s">
        <v>1070</v>
      </c>
    </row>
    <row r="13" spans="1:8">
      <c r="A13" s="30" t="s">
        <v>63</v>
      </c>
      <c r="B13" s="30" t="s">
        <v>64</v>
      </c>
      <c r="C13" s="48">
        <v>120000</v>
      </c>
      <c r="D13" s="48">
        <v>135000</v>
      </c>
      <c r="E13" s="48">
        <v>15000</v>
      </c>
      <c r="F13" s="253">
        <v>135000</v>
      </c>
      <c r="G13" s="59">
        <v>135000</v>
      </c>
      <c r="H13" t="s">
        <v>1716</v>
      </c>
    </row>
    <row r="14" spans="1:8">
      <c r="A14" s="30" t="s">
        <v>65</v>
      </c>
      <c r="B14" s="30" t="s">
        <v>66</v>
      </c>
      <c r="C14" s="48">
        <v>0</v>
      </c>
      <c r="D14" s="48">
        <v>24000</v>
      </c>
      <c r="E14" s="48">
        <v>24000</v>
      </c>
      <c r="F14" s="253">
        <v>24000</v>
      </c>
      <c r="G14" s="73">
        <f>'Dept 22'!G43</f>
        <v>24000</v>
      </c>
      <c r="H14" t="s">
        <v>1041</v>
      </c>
    </row>
    <row r="15" spans="1:8">
      <c r="A15" s="30" t="s">
        <v>67</v>
      </c>
      <c r="B15" s="30" t="s">
        <v>68</v>
      </c>
      <c r="C15" s="48">
        <v>0</v>
      </c>
      <c r="D15" s="48">
        <v>120000</v>
      </c>
      <c r="E15" s="48">
        <v>120000</v>
      </c>
      <c r="F15" s="253">
        <v>240000</v>
      </c>
      <c r="G15" s="59">
        <f>20000*12</f>
        <v>240000</v>
      </c>
      <c r="H15" t="s">
        <v>1003</v>
      </c>
    </row>
    <row r="16" spans="1:8">
      <c r="A16" s="30" t="s">
        <v>69</v>
      </c>
      <c r="B16" s="30" t="s">
        <v>70</v>
      </c>
      <c r="C16" s="48">
        <v>0</v>
      </c>
      <c r="D16" s="48">
        <v>25000</v>
      </c>
      <c r="E16" s="48">
        <v>25000</v>
      </c>
      <c r="F16" s="253">
        <v>25000</v>
      </c>
      <c r="G16" s="59">
        <v>25000</v>
      </c>
      <c r="H16" t="s">
        <v>998</v>
      </c>
    </row>
    <row r="17" spans="1:8">
      <c r="A17" s="30" t="s">
        <v>71</v>
      </c>
      <c r="B17" s="30" t="s">
        <v>72</v>
      </c>
      <c r="C17" s="48">
        <v>10500</v>
      </c>
      <c r="D17" s="48">
        <v>18000</v>
      </c>
      <c r="E17" s="48">
        <v>7500</v>
      </c>
      <c r="F17" s="253">
        <v>18000</v>
      </c>
      <c r="G17" s="73">
        <v>18000</v>
      </c>
    </row>
    <row r="18" spans="1:8">
      <c r="A18" s="30" t="s">
        <v>73</v>
      </c>
      <c r="B18" s="30" t="s">
        <v>74</v>
      </c>
      <c r="C18" s="48">
        <v>0</v>
      </c>
      <c r="D18" s="48">
        <v>3600</v>
      </c>
      <c r="E18" s="48">
        <v>3600</v>
      </c>
      <c r="F18" s="253">
        <v>3600</v>
      </c>
      <c r="G18" s="73">
        <f>'Dept 22'!G35</f>
        <v>3600</v>
      </c>
      <c r="H18" t="s">
        <v>1045</v>
      </c>
    </row>
    <row r="19" spans="1:8">
      <c r="A19" s="30" t="s">
        <v>1478</v>
      </c>
      <c r="B19" s="30" t="s">
        <v>75</v>
      </c>
      <c r="C19" s="48">
        <v>127290.64</v>
      </c>
      <c r="D19" s="48">
        <v>340000</v>
      </c>
      <c r="E19" s="48">
        <v>212709.36</v>
      </c>
      <c r="F19" s="253">
        <v>170000</v>
      </c>
      <c r="G19" s="59">
        <v>350000</v>
      </c>
    </row>
    <row r="20" spans="1:8">
      <c r="A20" s="30" t="s">
        <v>76</v>
      </c>
      <c r="B20" s="30" t="s">
        <v>77</v>
      </c>
      <c r="C20" s="48">
        <v>33440.65</v>
      </c>
      <c r="D20" s="48">
        <v>14000</v>
      </c>
      <c r="E20" s="48">
        <v>-19440.650000000001</v>
      </c>
      <c r="F20" s="253">
        <v>20000</v>
      </c>
      <c r="G20" s="59">
        <v>20000</v>
      </c>
    </row>
    <row r="21" spans="1:8">
      <c r="A21" s="30" t="s">
        <v>78</v>
      </c>
      <c r="B21" s="30" t="s">
        <v>79</v>
      </c>
      <c r="C21" s="48">
        <v>0</v>
      </c>
      <c r="D21" s="48">
        <v>310000</v>
      </c>
      <c r="E21" s="48">
        <v>310000</v>
      </c>
      <c r="F21" s="253">
        <v>0</v>
      </c>
      <c r="G21" s="59">
        <v>0</v>
      </c>
    </row>
    <row r="22" spans="1:8">
      <c r="A22" s="30" t="s">
        <v>80</v>
      </c>
      <c r="B22" s="30" t="s">
        <v>81</v>
      </c>
      <c r="C22" s="48">
        <v>0</v>
      </c>
      <c r="D22" s="48">
        <v>630000</v>
      </c>
      <c r="E22" s="48">
        <v>630000</v>
      </c>
      <c r="F22" s="253">
        <v>0</v>
      </c>
      <c r="G22" s="59">
        <v>0</v>
      </c>
      <c r="H22" t="s">
        <v>1070</v>
      </c>
    </row>
    <row r="23" spans="1:8">
      <c r="A23" s="30" t="s">
        <v>82</v>
      </c>
      <c r="B23" s="30" t="s">
        <v>83</v>
      </c>
      <c r="C23" s="48">
        <v>0</v>
      </c>
      <c r="D23" s="48">
        <v>12000</v>
      </c>
      <c r="E23" s="48">
        <v>12000</v>
      </c>
      <c r="F23" s="253">
        <v>12000</v>
      </c>
      <c r="G23" s="73">
        <f>'Dept 22'!G25</f>
        <v>12000</v>
      </c>
      <c r="H23" t="s">
        <v>1042</v>
      </c>
    </row>
    <row r="24" spans="1:8">
      <c r="A24" s="30" t="s">
        <v>84</v>
      </c>
      <c r="B24" s="30" t="s">
        <v>85</v>
      </c>
      <c r="C24" s="48">
        <v>0</v>
      </c>
      <c r="D24" s="48">
        <v>14400</v>
      </c>
      <c r="E24" s="48">
        <v>14400</v>
      </c>
      <c r="F24" s="253">
        <v>14400</v>
      </c>
      <c r="G24" s="73">
        <f>'Dept 13'!G27</f>
        <v>14400</v>
      </c>
      <c r="H24" t="s">
        <v>1043</v>
      </c>
    </row>
    <row r="25" spans="1:8">
      <c r="A25" s="30" t="s">
        <v>86</v>
      </c>
      <c r="B25" s="30" t="s">
        <v>87</v>
      </c>
      <c r="C25" s="48">
        <v>0</v>
      </c>
      <c r="D25" s="48">
        <v>12000</v>
      </c>
      <c r="E25" s="48">
        <v>12000</v>
      </c>
      <c r="F25" s="253">
        <v>12000</v>
      </c>
      <c r="G25" s="73">
        <f>'Dept 34'!G39</f>
        <v>12000</v>
      </c>
      <c r="H25" t="s">
        <v>1044</v>
      </c>
    </row>
    <row r="26" spans="1:8">
      <c r="A26" s="30" t="s">
        <v>88</v>
      </c>
      <c r="B26" s="30" t="s">
        <v>89</v>
      </c>
      <c r="C26" s="48">
        <v>10500</v>
      </c>
      <c r="D26" s="48">
        <v>18000</v>
      </c>
      <c r="E26" s="48">
        <v>7500</v>
      </c>
      <c r="F26" s="253">
        <v>18000</v>
      </c>
      <c r="G26" s="73">
        <f>PCH!B34</f>
        <v>30000</v>
      </c>
    </row>
    <row r="27" spans="1:8">
      <c r="A27" s="30" t="s">
        <v>90</v>
      </c>
      <c r="B27" s="30" t="s">
        <v>91</v>
      </c>
      <c r="C27" s="48">
        <v>0</v>
      </c>
      <c r="D27" s="48">
        <v>45000</v>
      </c>
      <c r="E27" s="48">
        <v>45000</v>
      </c>
      <c r="F27" s="253">
        <v>45000</v>
      </c>
      <c r="G27" s="59">
        <v>45000</v>
      </c>
    </row>
    <row r="28" spans="1:8">
      <c r="A28" s="30" t="s">
        <v>92</v>
      </c>
      <c r="B28" s="30" t="s">
        <v>93</v>
      </c>
      <c r="C28" s="48">
        <v>24839.38</v>
      </c>
      <c r="D28" s="48">
        <v>5000</v>
      </c>
      <c r="E28" s="48">
        <v>-19839.38</v>
      </c>
      <c r="F28" s="253">
        <v>25000</v>
      </c>
      <c r="G28" s="63">
        <v>25000</v>
      </c>
    </row>
    <row r="29" spans="1:8">
      <c r="A29" s="30" t="s">
        <v>94</v>
      </c>
      <c r="B29" s="30" t="s">
        <v>95</v>
      </c>
      <c r="C29" s="48">
        <v>0</v>
      </c>
      <c r="D29" s="48">
        <v>7200</v>
      </c>
      <c r="E29" s="48">
        <v>7200</v>
      </c>
      <c r="F29" s="253">
        <v>7200</v>
      </c>
      <c r="G29" s="73">
        <f>'Dept 13'!G38</f>
        <v>7200</v>
      </c>
    </row>
    <row r="30" spans="1:8">
      <c r="A30" s="30" t="s">
        <v>1690</v>
      </c>
      <c r="B30" s="30" t="s">
        <v>96</v>
      </c>
      <c r="C30" s="48">
        <v>0</v>
      </c>
      <c r="D30" s="48">
        <v>144524</v>
      </c>
      <c r="E30" s="48">
        <v>144524</v>
      </c>
      <c r="F30" s="253">
        <v>0</v>
      </c>
      <c r="G30" s="59">
        <v>0</v>
      </c>
    </row>
    <row r="31" spans="1:8">
      <c r="A31" s="30" t="s">
        <v>97</v>
      </c>
      <c r="B31" s="30" t="s">
        <v>98</v>
      </c>
      <c r="C31" s="48">
        <v>873.12</v>
      </c>
      <c r="D31" s="48">
        <v>2000</v>
      </c>
      <c r="E31" s="48">
        <v>1126.8800000000001</v>
      </c>
      <c r="F31" s="253">
        <v>2000</v>
      </c>
      <c r="G31" s="59">
        <f>F31</f>
        <v>2000</v>
      </c>
    </row>
    <row r="32" spans="1:8">
      <c r="A32" s="30" t="s">
        <v>99</v>
      </c>
      <c r="B32" s="30" t="s">
        <v>100</v>
      </c>
      <c r="C32" s="48">
        <v>182300</v>
      </c>
      <c r="D32" s="48">
        <v>0</v>
      </c>
      <c r="E32" s="48">
        <v>-182300</v>
      </c>
      <c r="F32" s="253">
        <v>0</v>
      </c>
      <c r="G32" s="59">
        <v>0</v>
      </c>
    </row>
    <row r="33" spans="1:8">
      <c r="A33" s="30" t="s">
        <v>101</v>
      </c>
      <c r="B33" s="30" t="s">
        <v>102</v>
      </c>
      <c r="C33" s="48">
        <v>0</v>
      </c>
      <c r="D33" s="48">
        <v>10000</v>
      </c>
      <c r="E33" s="48">
        <v>10000</v>
      </c>
      <c r="F33" s="253">
        <v>12000</v>
      </c>
      <c r="G33" s="59">
        <v>12000</v>
      </c>
    </row>
    <row r="34" spans="1:8">
      <c r="A34" s="30" t="s">
        <v>103</v>
      </c>
      <c r="B34" s="30" t="s">
        <v>104</v>
      </c>
      <c r="C34" s="48">
        <v>9000</v>
      </c>
      <c r="D34" s="48">
        <v>18000</v>
      </c>
      <c r="E34" s="48">
        <v>9000</v>
      </c>
      <c r="F34" s="253">
        <v>0</v>
      </c>
      <c r="G34" s="59">
        <f>3500*12</f>
        <v>42000</v>
      </c>
      <c r="H34" s="263">
        <v>3500</v>
      </c>
    </row>
    <row r="35" spans="1:8">
      <c r="A35" s="30" t="s">
        <v>105</v>
      </c>
      <c r="B35" s="30" t="s">
        <v>106</v>
      </c>
      <c r="C35" s="48">
        <v>15123.22</v>
      </c>
      <c r="D35" s="48">
        <v>0</v>
      </c>
      <c r="E35" s="48">
        <v>-15123.22</v>
      </c>
      <c r="F35" s="253">
        <v>0</v>
      </c>
      <c r="G35" s="59">
        <v>0</v>
      </c>
    </row>
    <row r="36" spans="1:8">
      <c r="A36" s="30" t="s">
        <v>107</v>
      </c>
      <c r="B36" s="30" t="s">
        <v>108</v>
      </c>
      <c r="C36" s="48">
        <v>0</v>
      </c>
      <c r="D36" s="48">
        <v>5000</v>
      </c>
      <c r="E36" s="48">
        <v>5000</v>
      </c>
      <c r="F36" s="253">
        <v>58500</v>
      </c>
      <c r="G36" s="59">
        <v>0</v>
      </c>
      <c r="H36" t="s">
        <v>1826</v>
      </c>
    </row>
    <row r="37" spans="1:8">
      <c r="A37" s="30" t="s">
        <v>109</v>
      </c>
      <c r="B37" s="30" t="s">
        <v>110</v>
      </c>
      <c r="C37" s="48">
        <v>2500</v>
      </c>
      <c r="D37" s="48">
        <v>0</v>
      </c>
      <c r="E37" s="48">
        <v>-2500</v>
      </c>
      <c r="F37" s="253">
        <v>0</v>
      </c>
      <c r="G37" s="59">
        <v>0</v>
      </c>
    </row>
    <row r="38" spans="1:8">
      <c r="A38" s="30" t="s">
        <v>111</v>
      </c>
      <c r="B38" s="30" t="s">
        <v>112</v>
      </c>
      <c r="C38" s="48">
        <v>0</v>
      </c>
      <c r="D38" s="48">
        <v>6800</v>
      </c>
      <c r="E38" s="48">
        <v>6800</v>
      </c>
      <c r="F38" s="253">
        <v>6000</v>
      </c>
      <c r="G38" s="59">
        <v>6000</v>
      </c>
    </row>
    <row r="39" spans="1:8">
      <c r="A39" s="30" t="s">
        <v>113</v>
      </c>
      <c r="B39" s="30" t="s">
        <v>114</v>
      </c>
      <c r="C39" s="48">
        <v>14554</v>
      </c>
      <c r="D39" s="48">
        <v>18000</v>
      </c>
      <c r="E39" s="48">
        <v>3446</v>
      </c>
      <c r="F39" s="253">
        <v>18000</v>
      </c>
      <c r="G39" s="59">
        <f>18000*1.25</f>
        <v>22500</v>
      </c>
    </row>
    <row r="40" spans="1:8">
      <c r="A40" s="30"/>
      <c r="B40" s="30"/>
      <c r="C40" s="48"/>
      <c r="D40" s="48"/>
      <c r="E40" s="48"/>
      <c r="F40" s="253"/>
    </row>
    <row r="41" spans="1:8">
      <c r="A41" s="49" t="s">
        <v>115</v>
      </c>
      <c r="B41" s="50"/>
      <c r="C41" s="51">
        <v>550921.01</v>
      </c>
      <c r="D41" s="51">
        <v>4376830</v>
      </c>
      <c r="E41" s="51">
        <v>3825908.9899999998</v>
      </c>
      <c r="F41" s="254">
        <v>3125471.3200000012</v>
      </c>
      <c r="G41" s="74">
        <f>SUM(G12:G39)</f>
        <v>3521933.3687500013</v>
      </c>
    </row>
    <row r="42" spans="1:8">
      <c r="A42" s="46"/>
      <c r="C42" s="48"/>
      <c r="D42" s="48"/>
      <c r="E42" s="48"/>
      <c r="F42" s="253"/>
    </row>
    <row r="43" spans="1:8">
      <c r="A43" s="45" t="s">
        <v>116</v>
      </c>
      <c r="C43" s="48"/>
      <c r="D43" s="48"/>
      <c r="E43" s="48"/>
      <c r="F43" s="253"/>
    </row>
    <row r="44" spans="1:8">
      <c r="A44" s="30" t="s">
        <v>117</v>
      </c>
      <c r="B44" s="30" t="s">
        <v>118</v>
      </c>
      <c r="C44" s="48">
        <v>70984.490000000005</v>
      </c>
      <c r="D44" s="48">
        <v>84614</v>
      </c>
      <c r="E44" s="48">
        <v>13629.509999999995</v>
      </c>
      <c r="F44" s="253">
        <v>80000</v>
      </c>
      <c r="G44" s="59">
        <v>81600</v>
      </c>
    </row>
    <row r="45" spans="1:8">
      <c r="A45" s="30" t="s">
        <v>119</v>
      </c>
      <c r="B45" s="30" t="s">
        <v>120</v>
      </c>
      <c r="C45" s="48">
        <v>238888.71</v>
      </c>
      <c r="D45" s="48">
        <v>290600</v>
      </c>
      <c r="E45" s="48">
        <v>51711.290000000008</v>
      </c>
      <c r="F45" s="253">
        <v>280000</v>
      </c>
      <c r="G45" s="59">
        <f>71400*4</f>
        <v>285600</v>
      </c>
    </row>
    <row r="46" spans="1:8">
      <c r="A46" s="30" t="s">
        <v>121</v>
      </c>
      <c r="B46" s="30" t="s">
        <v>122</v>
      </c>
      <c r="C46" s="48">
        <v>101975</v>
      </c>
      <c r="D46" s="48">
        <v>127000</v>
      </c>
      <c r="E46" s="48">
        <v>25025</v>
      </c>
      <c r="F46" s="253">
        <v>124800</v>
      </c>
      <c r="G46" s="59">
        <v>129205.44</v>
      </c>
    </row>
    <row r="47" spans="1:8">
      <c r="A47" s="30" t="s">
        <v>123</v>
      </c>
      <c r="B47" s="30" t="s">
        <v>124</v>
      </c>
      <c r="C47" s="48">
        <v>3650.87</v>
      </c>
      <c r="D47" s="48">
        <v>3600</v>
      </c>
      <c r="E47" s="48">
        <v>-50.869999999999891</v>
      </c>
      <c r="F47" s="253">
        <v>3600</v>
      </c>
      <c r="G47" s="59">
        <f t="shared" ref="G47" si="0">F47</f>
        <v>3600</v>
      </c>
    </row>
    <row r="48" spans="1:8">
      <c r="A48" s="30" t="s">
        <v>125</v>
      </c>
      <c r="B48" s="30" t="s">
        <v>126</v>
      </c>
      <c r="C48" s="48">
        <v>92687</v>
      </c>
      <c r="D48" s="48">
        <v>110613.1</v>
      </c>
      <c r="E48" s="48">
        <v>17926.100000000006</v>
      </c>
      <c r="F48" s="253">
        <v>110613</v>
      </c>
      <c r="G48" s="59">
        <f>62000+57684.93</f>
        <v>119684.93</v>
      </c>
    </row>
    <row r="49" spans="1:8">
      <c r="A49" s="30" t="s">
        <v>127</v>
      </c>
      <c r="B49" s="30" t="s">
        <v>128</v>
      </c>
      <c r="C49" s="48">
        <v>63736.4</v>
      </c>
      <c r="D49" s="48">
        <v>82883.320000000007</v>
      </c>
      <c r="E49" s="48">
        <v>19146.920000000006</v>
      </c>
      <c r="F49" s="253">
        <v>76227</v>
      </c>
      <c r="G49" s="59">
        <f>43336.21+36765.38+(36765.38/2)</f>
        <v>98484.28</v>
      </c>
    </row>
    <row r="50" spans="1:8">
      <c r="A50" s="30" t="s">
        <v>129</v>
      </c>
      <c r="B50" s="30" t="s">
        <v>130</v>
      </c>
      <c r="C50" s="48">
        <v>30381.07</v>
      </c>
      <c r="D50" s="48">
        <v>30258.02</v>
      </c>
      <c r="E50" s="48">
        <v>-123.04999999999927</v>
      </c>
      <c r="F50" s="253">
        <v>22880</v>
      </c>
      <c r="G50" s="59">
        <f>11843.83*2</f>
        <v>23687.66</v>
      </c>
    </row>
    <row r="51" spans="1:8">
      <c r="A51" s="30" t="s">
        <v>131</v>
      </c>
      <c r="B51" s="30" t="s">
        <v>132</v>
      </c>
      <c r="C51" s="48">
        <v>31371.42</v>
      </c>
      <c r="D51" s="48">
        <v>26332.799999999999</v>
      </c>
      <c r="E51" s="48">
        <v>-5038.619999999999</v>
      </c>
      <c r="F51" s="253">
        <v>27268</v>
      </c>
      <c r="G51" s="59">
        <v>26145.599999999999</v>
      </c>
    </row>
    <row r="52" spans="1:8">
      <c r="A52" s="30" t="s">
        <v>133</v>
      </c>
      <c r="B52" s="30" t="s">
        <v>134</v>
      </c>
      <c r="C52" s="48">
        <v>32747.5</v>
      </c>
      <c r="D52" s="48">
        <v>44443.35</v>
      </c>
      <c r="E52" s="48">
        <v>11695.849999999999</v>
      </c>
      <c r="F52" s="253">
        <v>41210</v>
      </c>
      <c r="G52" s="59">
        <v>42034.2</v>
      </c>
    </row>
    <row r="53" spans="1:8">
      <c r="A53" s="30" t="s">
        <v>135</v>
      </c>
      <c r="B53" s="30" t="s">
        <v>136</v>
      </c>
      <c r="C53" s="48">
        <v>6350</v>
      </c>
      <c r="D53" s="48">
        <v>9000</v>
      </c>
      <c r="E53" s="48">
        <v>2650</v>
      </c>
      <c r="F53" s="253">
        <v>9000</v>
      </c>
      <c r="G53" s="59">
        <f t="shared" ref="G53:G55" si="1">F53</f>
        <v>9000</v>
      </c>
    </row>
    <row r="54" spans="1:8">
      <c r="A54" s="30" t="s">
        <v>137</v>
      </c>
      <c r="B54" s="30" t="s">
        <v>138</v>
      </c>
      <c r="C54" s="48">
        <v>0</v>
      </c>
      <c r="D54" s="48">
        <v>1600</v>
      </c>
      <c r="E54" s="48">
        <v>1600</v>
      </c>
      <c r="F54" s="253">
        <v>1600</v>
      </c>
      <c r="G54" s="59">
        <f t="shared" si="1"/>
        <v>1600</v>
      </c>
    </row>
    <row r="55" spans="1:8">
      <c r="A55" s="30" t="s">
        <v>1880</v>
      </c>
      <c r="B55" s="30" t="s">
        <v>139</v>
      </c>
      <c r="C55" s="48">
        <v>5000</v>
      </c>
      <c r="D55" s="48">
        <v>5000</v>
      </c>
      <c r="E55" s="48">
        <v>0</v>
      </c>
      <c r="F55" s="253">
        <v>5000</v>
      </c>
      <c r="G55" s="59">
        <f t="shared" si="1"/>
        <v>5000</v>
      </c>
    </row>
    <row r="56" spans="1:8">
      <c r="A56" s="30" t="s">
        <v>140</v>
      </c>
      <c r="B56" s="30" t="s">
        <v>141</v>
      </c>
      <c r="C56" s="48">
        <v>20000</v>
      </c>
      <c r="D56" s="48">
        <v>0</v>
      </c>
      <c r="E56" s="48">
        <v>-20000</v>
      </c>
      <c r="F56" s="253">
        <v>0</v>
      </c>
      <c r="G56" s="59">
        <v>0</v>
      </c>
    </row>
    <row r="57" spans="1:8">
      <c r="A57" s="30" t="s">
        <v>142</v>
      </c>
      <c r="B57" s="30" t="s">
        <v>143</v>
      </c>
      <c r="C57" s="48">
        <v>57233.2</v>
      </c>
      <c r="D57" s="48">
        <v>74013.16</v>
      </c>
      <c r="E57" s="48">
        <v>16779.960000000006</v>
      </c>
      <c r="F57" s="253">
        <v>74013.16</v>
      </c>
      <c r="G57" s="59">
        <f>F57</f>
        <v>74013.16</v>
      </c>
    </row>
    <row r="58" spans="1:8">
      <c r="A58" s="30" t="s">
        <v>144</v>
      </c>
      <c r="B58" s="30" t="s">
        <v>145</v>
      </c>
      <c r="C58" s="48">
        <v>34470.31</v>
      </c>
      <c r="D58" s="48">
        <v>42000</v>
      </c>
      <c r="E58" s="48">
        <v>7529.6900000000023</v>
      </c>
      <c r="F58" s="253">
        <v>35000</v>
      </c>
      <c r="G58" s="59">
        <v>35000</v>
      </c>
    </row>
    <row r="59" spans="1:8">
      <c r="A59" s="30" t="s">
        <v>146</v>
      </c>
      <c r="B59" s="30" t="s">
        <v>147</v>
      </c>
      <c r="C59" s="48">
        <v>36326.199999999997</v>
      </c>
      <c r="D59" s="48">
        <v>46834.06</v>
      </c>
      <c r="E59" s="48">
        <v>10507.86</v>
      </c>
      <c r="F59" s="253">
        <v>46834.06</v>
      </c>
      <c r="G59" s="59">
        <v>48487.24</v>
      </c>
    </row>
    <row r="60" spans="1:8">
      <c r="A60" s="30" t="s">
        <v>1691</v>
      </c>
      <c r="B60" s="30" t="s">
        <v>148</v>
      </c>
      <c r="C60" s="48">
        <v>0</v>
      </c>
      <c r="D60" s="48">
        <v>20000</v>
      </c>
      <c r="E60" s="48">
        <v>20000</v>
      </c>
      <c r="F60" s="253">
        <v>10000</v>
      </c>
      <c r="G60" s="59">
        <v>10000</v>
      </c>
    </row>
    <row r="61" spans="1:8">
      <c r="A61" s="30" t="s">
        <v>149</v>
      </c>
      <c r="B61" s="30" t="s">
        <v>150</v>
      </c>
      <c r="C61" s="48">
        <v>0</v>
      </c>
      <c r="D61" s="48">
        <v>6925</v>
      </c>
      <c r="E61" s="48">
        <v>6925</v>
      </c>
      <c r="F61" s="253">
        <v>0</v>
      </c>
      <c r="G61" s="59">
        <v>0</v>
      </c>
    </row>
    <row r="62" spans="1:8">
      <c r="A62" s="30" t="s">
        <v>151</v>
      </c>
      <c r="B62" s="30" t="s">
        <v>152</v>
      </c>
      <c r="C62" s="48">
        <v>33966.93</v>
      </c>
      <c r="D62" s="48">
        <v>35000</v>
      </c>
      <c r="E62" s="48">
        <v>1033.0699999999997</v>
      </c>
      <c r="F62" s="253">
        <v>54731.975042421116</v>
      </c>
      <c r="G62" s="73">
        <f>SUM('LTD Summary'!J8:J16)-'LTD Summary'!J13-'LTD Summary'!J16</f>
        <v>207037.64480909077</v>
      </c>
      <c r="H62" t="s">
        <v>1055</v>
      </c>
    </row>
    <row r="63" spans="1:8">
      <c r="A63" s="30" t="s">
        <v>153</v>
      </c>
      <c r="B63" s="30" t="s">
        <v>154</v>
      </c>
      <c r="C63" s="48">
        <v>2479.9499999999998</v>
      </c>
      <c r="D63" s="48">
        <v>0</v>
      </c>
      <c r="E63" s="48">
        <v>-2479.9499999999998</v>
      </c>
      <c r="F63" s="253">
        <v>3306.5999999999995</v>
      </c>
      <c r="G63" s="59">
        <f>C63/9*12</f>
        <v>3306.5999999999995</v>
      </c>
    </row>
    <row r="64" spans="1:8">
      <c r="A64" s="30" t="s">
        <v>155</v>
      </c>
      <c r="B64" s="30" t="s">
        <v>156</v>
      </c>
      <c r="C64" s="48">
        <v>9156.5</v>
      </c>
      <c r="D64" s="48">
        <v>13000</v>
      </c>
      <c r="E64" s="48">
        <v>3843.5</v>
      </c>
      <c r="F64" s="253">
        <v>12208.666666666668</v>
      </c>
      <c r="G64" s="59">
        <f>C64/9*12</f>
        <v>12208.666666666668</v>
      </c>
    </row>
    <row r="65" spans="1:8">
      <c r="A65" s="30" t="s">
        <v>157</v>
      </c>
      <c r="B65" s="30" t="s">
        <v>158</v>
      </c>
      <c r="C65" s="48">
        <v>33387.65</v>
      </c>
      <c r="D65" s="48">
        <v>60000</v>
      </c>
      <c r="E65" s="48">
        <v>26612.35</v>
      </c>
      <c r="F65" s="253">
        <v>44516.866666666669</v>
      </c>
      <c r="G65" s="59">
        <f>C65/9*12</f>
        <v>44516.866666666669</v>
      </c>
    </row>
    <row r="66" spans="1:8">
      <c r="A66" s="30" t="s">
        <v>159</v>
      </c>
      <c r="B66" s="30" t="s">
        <v>160</v>
      </c>
      <c r="C66" s="48">
        <v>0</v>
      </c>
      <c r="D66" s="48">
        <v>60000</v>
      </c>
      <c r="E66" s="48">
        <v>60000</v>
      </c>
      <c r="F66" s="253">
        <v>60000</v>
      </c>
      <c r="G66" s="59">
        <v>60000</v>
      </c>
    </row>
    <row r="67" spans="1:8">
      <c r="A67" s="30" t="s">
        <v>161</v>
      </c>
      <c r="B67" s="30" t="s">
        <v>162</v>
      </c>
      <c r="C67" s="48">
        <v>10034.6</v>
      </c>
      <c r="D67" s="48">
        <v>17000</v>
      </c>
      <c r="E67" s="48">
        <v>6965.4</v>
      </c>
      <c r="F67" s="253">
        <v>17000</v>
      </c>
      <c r="G67" s="59">
        <v>17000</v>
      </c>
    </row>
    <row r="68" spans="1:8">
      <c r="A68" s="30" t="s">
        <v>163</v>
      </c>
      <c r="B68" s="30" t="s">
        <v>164</v>
      </c>
      <c r="C68" s="48">
        <v>8441.1</v>
      </c>
      <c r="D68" s="48">
        <v>15000</v>
      </c>
      <c r="E68" s="48">
        <v>6558.9</v>
      </c>
      <c r="F68" s="253">
        <v>10000</v>
      </c>
      <c r="G68" s="59">
        <v>10000</v>
      </c>
    </row>
    <row r="69" spans="1:8">
      <c r="A69" s="30" t="s">
        <v>165</v>
      </c>
      <c r="B69" s="30" t="s">
        <v>166</v>
      </c>
      <c r="C69" s="48">
        <v>402072.02</v>
      </c>
      <c r="D69" s="48">
        <v>130000</v>
      </c>
      <c r="E69" s="48">
        <v>-272072.02</v>
      </c>
      <c r="F69" s="253">
        <v>300000</v>
      </c>
      <c r="G69" s="59">
        <v>300000</v>
      </c>
      <c r="H69" t="s">
        <v>1005</v>
      </c>
    </row>
    <row r="70" spans="1:8">
      <c r="A70" s="30" t="s">
        <v>167</v>
      </c>
      <c r="B70" s="30" t="s">
        <v>168</v>
      </c>
      <c r="C70" s="48">
        <v>44928.32</v>
      </c>
      <c r="D70" s="48">
        <v>65000</v>
      </c>
      <c r="E70" s="48">
        <v>20071.68</v>
      </c>
      <c r="F70" s="253">
        <v>50000</v>
      </c>
      <c r="G70" s="59">
        <v>50000</v>
      </c>
      <c r="H70" t="s">
        <v>1006</v>
      </c>
    </row>
    <row r="71" spans="1:8">
      <c r="A71" s="30" t="s">
        <v>169</v>
      </c>
      <c r="B71" s="30" t="s">
        <v>170</v>
      </c>
      <c r="C71" s="48">
        <v>6450</v>
      </c>
      <c r="D71" s="48">
        <v>0</v>
      </c>
      <c r="E71" s="48">
        <v>-6450</v>
      </c>
      <c r="F71" s="253">
        <v>0</v>
      </c>
      <c r="G71" s="59">
        <v>0</v>
      </c>
    </row>
    <row r="72" spans="1:8">
      <c r="A72" s="30" t="s">
        <v>171</v>
      </c>
      <c r="B72" s="30" t="s">
        <v>172</v>
      </c>
      <c r="C72" s="48">
        <v>259.04000000000002</v>
      </c>
      <c r="D72" s="48">
        <v>5000</v>
      </c>
      <c r="E72" s="48">
        <v>4740.96</v>
      </c>
      <c r="F72" s="253">
        <v>0</v>
      </c>
      <c r="G72" s="59">
        <v>0</v>
      </c>
    </row>
    <row r="73" spans="1:8">
      <c r="A73" s="30" t="s">
        <v>173</v>
      </c>
      <c r="B73" s="30" t="s">
        <v>174</v>
      </c>
      <c r="C73" s="48">
        <v>96466.34</v>
      </c>
      <c r="D73" s="48">
        <v>110000</v>
      </c>
      <c r="E73" s="48">
        <v>13533.660000000003</v>
      </c>
      <c r="F73" s="253">
        <v>110000</v>
      </c>
      <c r="G73" s="59">
        <v>110000</v>
      </c>
    </row>
    <row r="74" spans="1:8">
      <c r="A74" s="30" t="s">
        <v>175</v>
      </c>
      <c r="B74" s="30" t="s">
        <v>176</v>
      </c>
      <c r="C74" s="48">
        <v>15620.32</v>
      </c>
      <c r="D74" s="48">
        <v>20000</v>
      </c>
      <c r="E74" s="48">
        <v>4379.68</v>
      </c>
      <c r="F74" s="253">
        <v>20000</v>
      </c>
      <c r="G74" s="59">
        <v>20000</v>
      </c>
    </row>
    <row r="75" spans="1:8">
      <c r="A75" s="30" t="s">
        <v>177</v>
      </c>
      <c r="B75" s="30" t="s">
        <v>178</v>
      </c>
      <c r="C75" s="48">
        <v>15653.45</v>
      </c>
      <c r="D75" s="48">
        <v>42000</v>
      </c>
      <c r="E75" s="48">
        <v>26346.55</v>
      </c>
      <c r="F75" s="253">
        <v>20000</v>
      </c>
      <c r="G75" s="59">
        <v>25000</v>
      </c>
    </row>
    <row r="76" spans="1:8">
      <c r="A76" s="30" t="s">
        <v>179</v>
      </c>
      <c r="B76" s="30" t="s">
        <v>180</v>
      </c>
      <c r="C76" s="48">
        <v>4618.6000000000004</v>
      </c>
      <c r="D76" s="48">
        <v>7000</v>
      </c>
      <c r="E76" s="48">
        <v>2381.3999999999996</v>
      </c>
      <c r="F76" s="253">
        <v>5000</v>
      </c>
      <c r="G76" s="59">
        <v>5000</v>
      </c>
    </row>
    <row r="77" spans="1:8">
      <c r="A77" s="30" t="s">
        <v>181</v>
      </c>
      <c r="B77" s="30" t="s">
        <v>182</v>
      </c>
      <c r="C77" s="48">
        <v>29380.91</v>
      </c>
      <c r="D77" s="48">
        <v>35000</v>
      </c>
      <c r="E77" s="48">
        <v>5619.09</v>
      </c>
      <c r="F77" s="253">
        <v>35000</v>
      </c>
      <c r="G77" s="59">
        <v>35000</v>
      </c>
    </row>
    <row r="78" spans="1:8">
      <c r="A78" s="30" t="s">
        <v>183</v>
      </c>
      <c r="B78" s="30" t="s">
        <v>184</v>
      </c>
      <c r="C78" s="48">
        <v>27497.4</v>
      </c>
      <c r="D78" s="48">
        <v>15000</v>
      </c>
      <c r="E78" s="48">
        <v>-12497.400000000001</v>
      </c>
      <c r="F78" s="253">
        <v>10000</v>
      </c>
      <c r="G78" s="59">
        <v>10000</v>
      </c>
    </row>
    <row r="79" spans="1:8">
      <c r="A79" s="30" t="s">
        <v>185</v>
      </c>
      <c r="B79" s="30" t="s">
        <v>186</v>
      </c>
      <c r="C79" s="48">
        <v>0</v>
      </c>
      <c r="D79" s="48">
        <v>25000</v>
      </c>
      <c r="E79" s="48">
        <v>25000</v>
      </c>
      <c r="F79" s="253">
        <v>54000</v>
      </c>
      <c r="G79" s="59">
        <f>1500*12</f>
        <v>18000</v>
      </c>
      <c r="H79" t="s">
        <v>1700</v>
      </c>
    </row>
    <row r="80" spans="1:8">
      <c r="A80" s="30" t="s">
        <v>187</v>
      </c>
      <c r="B80" s="30" t="s">
        <v>188</v>
      </c>
      <c r="C80" s="48">
        <v>18344.52</v>
      </c>
      <c r="D80" s="48">
        <v>130000</v>
      </c>
      <c r="E80" s="48">
        <v>111655.48</v>
      </c>
      <c r="F80" s="253">
        <v>20000</v>
      </c>
      <c r="G80" s="59">
        <v>20000</v>
      </c>
    </row>
    <row r="81" spans="1:8">
      <c r="A81" s="30" t="s">
        <v>189</v>
      </c>
      <c r="B81" s="30" t="s">
        <v>190</v>
      </c>
      <c r="C81" s="48">
        <v>2561.27</v>
      </c>
      <c r="D81" s="48">
        <v>0</v>
      </c>
      <c r="E81" s="48">
        <v>-2561.27</v>
      </c>
      <c r="F81" s="253">
        <v>0</v>
      </c>
      <c r="G81" s="59">
        <v>0</v>
      </c>
    </row>
    <row r="82" spans="1:8">
      <c r="A82" s="30" t="s">
        <v>1827</v>
      </c>
      <c r="B82" s="30" t="s">
        <v>191</v>
      </c>
      <c r="C82" s="48">
        <v>27285.54</v>
      </c>
      <c r="D82" s="48">
        <v>62000</v>
      </c>
      <c r="E82" s="48">
        <v>34714.46</v>
      </c>
      <c r="F82" s="253">
        <v>21250</v>
      </c>
      <c r="G82" s="59">
        <f>G19*0.25/2</f>
        <v>43750</v>
      </c>
    </row>
    <row r="83" spans="1:8">
      <c r="A83" s="30" t="s">
        <v>1828</v>
      </c>
      <c r="B83" s="30" t="s">
        <v>192</v>
      </c>
      <c r="C83" s="48">
        <v>90128.3</v>
      </c>
      <c r="D83" s="48">
        <v>68000</v>
      </c>
      <c r="E83" s="48">
        <v>-22128.300000000003</v>
      </c>
      <c r="F83" s="253">
        <v>21250</v>
      </c>
      <c r="G83" s="59">
        <f>G82</f>
        <v>43750</v>
      </c>
    </row>
    <row r="84" spans="1:8">
      <c r="A84" s="30" t="s">
        <v>193</v>
      </c>
      <c r="B84" s="30" t="s">
        <v>194</v>
      </c>
      <c r="C84" s="48">
        <v>18226.97</v>
      </c>
      <c r="D84" s="48">
        <v>30000</v>
      </c>
      <c r="E84" s="48">
        <v>11773.029999999999</v>
      </c>
      <c r="F84" s="253">
        <v>30000</v>
      </c>
      <c r="G84" s="59">
        <f>F84</f>
        <v>30000</v>
      </c>
    </row>
    <row r="85" spans="1:8">
      <c r="A85" s="30" t="s">
        <v>195</v>
      </c>
      <c r="B85" s="30" t="s">
        <v>196</v>
      </c>
      <c r="C85" s="48">
        <v>22171.77</v>
      </c>
      <c r="D85" s="48">
        <v>24000</v>
      </c>
      <c r="E85" s="48">
        <v>1828.2299999999996</v>
      </c>
      <c r="F85" s="253">
        <v>24000</v>
      </c>
      <c r="G85" s="59">
        <f>F85</f>
        <v>24000</v>
      </c>
    </row>
    <row r="86" spans="1:8">
      <c r="A86" s="30" t="s">
        <v>197</v>
      </c>
      <c r="B86" s="30" t="s">
        <v>198</v>
      </c>
      <c r="C86" s="48">
        <v>13118.08</v>
      </c>
      <c r="D86" s="48">
        <v>25000</v>
      </c>
      <c r="E86" s="48">
        <v>11881.92</v>
      </c>
      <c r="F86" s="253">
        <v>18000</v>
      </c>
      <c r="G86" s="59">
        <f>1500*12</f>
        <v>18000</v>
      </c>
    </row>
    <row r="87" spans="1:8">
      <c r="A87" s="30" t="s">
        <v>199</v>
      </c>
      <c r="B87" s="30" t="s">
        <v>200</v>
      </c>
      <c r="C87" s="48">
        <v>8307.7999999999993</v>
      </c>
      <c r="D87" s="48">
        <v>8000</v>
      </c>
      <c r="E87" s="48">
        <v>-307.79999999999927</v>
      </c>
      <c r="F87" s="253">
        <v>0</v>
      </c>
      <c r="G87" s="59">
        <f>0</f>
        <v>0</v>
      </c>
    </row>
    <row r="88" spans="1:8">
      <c r="A88" s="30" t="s">
        <v>201</v>
      </c>
      <c r="B88" s="30" t="s">
        <v>202</v>
      </c>
      <c r="C88" s="48">
        <v>5261.56</v>
      </c>
      <c r="D88" s="48">
        <v>8000</v>
      </c>
      <c r="E88" s="48">
        <v>2738.4399999999996</v>
      </c>
      <c r="F88" s="253">
        <v>8000</v>
      </c>
      <c r="G88" s="59">
        <f>F88</f>
        <v>8000</v>
      </c>
    </row>
    <row r="89" spans="1:8">
      <c r="A89" s="30" t="s">
        <v>203</v>
      </c>
      <c r="B89" s="30" t="s">
        <v>204</v>
      </c>
      <c r="C89" s="48">
        <v>11329.26</v>
      </c>
      <c r="D89" s="48">
        <v>20000</v>
      </c>
      <c r="E89" s="48">
        <v>8670.74</v>
      </c>
      <c r="F89" s="253">
        <v>10000</v>
      </c>
      <c r="G89" s="59">
        <f>10000</f>
        <v>10000</v>
      </c>
    </row>
    <row r="90" spans="1:8">
      <c r="A90" s="30" t="s">
        <v>205</v>
      </c>
      <c r="B90" s="30" t="s">
        <v>206</v>
      </c>
      <c r="C90" s="48">
        <v>169202</v>
      </c>
      <c r="D90" s="48">
        <v>26000</v>
      </c>
      <c r="E90" s="48">
        <v>-143202</v>
      </c>
      <c r="F90" s="253">
        <v>180000</v>
      </c>
      <c r="G90" s="59">
        <f>180000</f>
        <v>180000</v>
      </c>
    </row>
    <row r="91" spans="1:8">
      <c r="A91" s="30" t="s">
        <v>207</v>
      </c>
      <c r="B91" s="30" t="s">
        <v>208</v>
      </c>
      <c r="C91" s="48">
        <v>6849.21</v>
      </c>
      <c r="D91" s="48">
        <v>0</v>
      </c>
      <c r="E91" s="48">
        <v>-6849.21</v>
      </c>
      <c r="F91" s="253">
        <v>5000</v>
      </c>
      <c r="G91" s="59">
        <v>5000</v>
      </c>
    </row>
    <row r="92" spans="1:8">
      <c r="A92" s="30" t="s">
        <v>209</v>
      </c>
      <c r="B92" s="30" t="s">
        <v>210</v>
      </c>
      <c r="C92" s="48">
        <v>443562.84</v>
      </c>
      <c r="D92" s="48">
        <v>0</v>
      </c>
      <c r="E92" s="48">
        <v>-443562.84</v>
      </c>
      <c r="F92" s="253">
        <v>591417.12</v>
      </c>
      <c r="G92" s="59">
        <f>C92/9*12</f>
        <v>591417.12</v>
      </c>
    </row>
    <row r="93" spans="1:8">
      <c r="A93" s="30" t="s">
        <v>211</v>
      </c>
      <c r="B93" s="30" t="s">
        <v>212</v>
      </c>
      <c r="C93" s="48">
        <v>-8960.09</v>
      </c>
      <c r="D93" s="48">
        <v>0</v>
      </c>
      <c r="E93" s="48">
        <v>8960.09</v>
      </c>
      <c r="F93" s="253">
        <v>0</v>
      </c>
      <c r="G93" s="59">
        <v>0</v>
      </c>
    </row>
    <row r="94" spans="1:8">
      <c r="A94" s="30" t="s">
        <v>213</v>
      </c>
      <c r="B94" s="30" t="s">
        <v>214</v>
      </c>
      <c r="C94" s="48">
        <v>9500</v>
      </c>
      <c r="D94" s="48">
        <v>0</v>
      </c>
      <c r="E94" s="48">
        <v>-9500</v>
      </c>
      <c r="F94" s="253">
        <v>0</v>
      </c>
      <c r="G94" s="59">
        <v>0</v>
      </c>
    </row>
    <row r="95" spans="1:8">
      <c r="A95" s="30" t="s">
        <v>215</v>
      </c>
      <c r="B95" s="30" t="s">
        <v>216</v>
      </c>
      <c r="C95" s="48">
        <v>8700</v>
      </c>
      <c r="D95" s="48">
        <v>0</v>
      </c>
      <c r="E95" s="48">
        <v>-8700</v>
      </c>
      <c r="F95" s="253">
        <v>0</v>
      </c>
      <c r="G95" s="59">
        <v>0</v>
      </c>
    </row>
    <row r="96" spans="1:8">
      <c r="A96" s="30" t="s">
        <v>217</v>
      </c>
      <c r="B96" s="30" t="s">
        <v>218</v>
      </c>
      <c r="C96" s="48">
        <v>22245.29</v>
      </c>
      <c r="D96" s="48">
        <v>0</v>
      </c>
      <c r="E96" s="48">
        <v>-22245.29</v>
      </c>
      <c r="F96" s="253">
        <v>15000</v>
      </c>
      <c r="G96" s="59">
        <v>15000</v>
      </c>
      <c r="H96" t="s">
        <v>1069</v>
      </c>
    </row>
    <row r="97" spans="1:8">
      <c r="A97" s="30" t="s">
        <v>1829</v>
      </c>
      <c r="B97" s="30" t="s">
        <v>219</v>
      </c>
      <c r="C97" s="48">
        <v>15.05</v>
      </c>
      <c r="D97" s="48">
        <v>0</v>
      </c>
      <c r="E97" s="48">
        <v>-15.05</v>
      </c>
      <c r="F97" s="253">
        <v>0</v>
      </c>
      <c r="G97" s="59">
        <v>0</v>
      </c>
    </row>
    <row r="98" spans="1:8">
      <c r="A98" s="30" t="s">
        <v>220</v>
      </c>
      <c r="B98" s="30" t="s">
        <v>221</v>
      </c>
      <c r="C98" s="48">
        <v>9500</v>
      </c>
      <c r="D98" s="48">
        <v>0</v>
      </c>
      <c r="E98" s="48">
        <v>-9500</v>
      </c>
      <c r="F98" s="253">
        <v>0</v>
      </c>
      <c r="G98" s="59">
        <v>0</v>
      </c>
      <c r="H98" t="s">
        <v>1070</v>
      </c>
    </row>
    <row r="99" spans="1:8">
      <c r="A99" s="30" t="s">
        <v>222</v>
      </c>
      <c r="B99" s="30" t="s">
        <v>223</v>
      </c>
      <c r="C99" s="48">
        <v>53004.83</v>
      </c>
      <c r="D99" s="48">
        <v>0</v>
      </c>
      <c r="E99" s="48">
        <v>-53004.83</v>
      </c>
      <c r="F99" s="253">
        <v>15000</v>
      </c>
      <c r="G99" s="59">
        <v>15000</v>
      </c>
    </row>
    <row r="100" spans="1:8">
      <c r="A100" s="30" t="s">
        <v>224</v>
      </c>
      <c r="B100" s="30" t="s">
        <v>225</v>
      </c>
      <c r="C100" s="48">
        <v>4200</v>
      </c>
      <c r="D100" s="48">
        <v>0</v>
      </c>
      <c r="E100" s="48">
        <v>-4200</v>
      </c>
      <c r="F100" s="253">
        <v>5000</v>
      </c>
      <c r="G100" s="59">
        <v>5000</v>
      </c>
    </row>
    <row r="101" spans="1:8">
      <c r="A101" s="30" t="s">
        <v>226</v>
      </c>
      <c r="B101" s="30" t="s">
        <v>227</v>
      </c>
      <c r="C101" s="48">
        <v>61574.96</v>
      </c>
      <c r="D101" s="48">
        <v>0</v>
      </c>
      <c r="E101" s="48">
        <v>-61574.96</v>
      </c>
      <c r="F101" s="253">
        <v>0</v>
      </c>
      <c r="G101" s="59">
        <v>0</v>
      </c>
    </row>
    <row r="102" spans="1:8">
      <c r="A102" s="30" t="s">
        <v>228</v>
      </c>
      <c r="B102" s="30" t="s">
        <v>229</v>
      </c>
      <c r="C102" s="48">
        <v>74586.789999999994</v>
      </c>
      <c r="D102" s="48">
        <v>0</v>
      </c>
      <c r="E102" s="48">
        <v>-74586.789999999994</v>
      </c>
      <c r="F102" s="253">
        <v>0</v>
      </c>
      <c r="G102" s="59">
        <v>0</v>
      </c>
    </row>
    <row r="103" spans="1:8">
      <c r="A103" s="30" t="s">
        <v>1830</v>
      </c>
      <c r="B103" s="30" t="s">
        <v>230</v>
      </c>
      <c r="C103" s="48">
        <v>28346.62</v>
      </c>
      <c r="D103" s="48">
        <v>0</v>
      </c>
      <c r="E103" s="48">
        <v>-28346.62</v>
      </c>
      <c r="F103" s="253">
        <v>58500</v>
      </c>
      <c r="G103" s="59">
        <v>0</v>
      </c>
    </row>
    <row r="104" spans="1:8">
      <c r="A104" s="30" t="s">
        <v>231</v>
      </c>
      <c r="B104" s="30" t="s">
        <v>232</v>
      </c>
      <c r="C104" s="48">
        <v>27368.98</v>
      </c>
      <c r="D104" s="48">
        <v>0</v>
      </c>
      <c r="E104" s="48">
        <v>-27368.98</v>
      </c>
      <c r="F104" s="253">
        <v>0</v>
      </c>
      <c r="G104" s="59">
        <v>0</v>
      </c>
    </row>
    <row r="105" spans="1:8">
      <c r="A105" s="30" t="s">
        <v>233</v>
      </c>
      <c r="B105" s="30" t="s">
        <v>234</v>
      </c>
      <c r="C105" s="48">
        <v>1659.61</v>
      </c>
      <c r="D105" s="48">
        <v>0</v>
      </c>
      <c r="E105" s="48">
        <v>-1659.61</v>
      </c>
      <c r="F105" s="253">
        <v>0</v>
      </c>
      <c r="G105" s="59">
        <v>0</v>
      </c>
    </row>
    <row r="106" spans="1:8">
      <c r="A106" s="30" t="s">
        <v>235</v>
      </c>
      <c r="B106" s="30" t="s">
        <v>236</v>
      </c>
      <c r="C106" s="48">
        <v>419.65</v>
      </c>
      <c r="D106" s="48">
        <v>0</v>
      </c>
      <c r="E106" s="48">
        <v>-419.65</v>
      </c>
      <c r="F106" s="253">
        <v>1000</v>
      </c>
      <c r="G106" s="59">
        <v>1000</v>
      </c>
    </row>
    <row r="107" spans="1:8">
      <c r="A107" s="30" t="s">
        <v>237</v>
      </c>
      <c r="B107" s="30" t="s">
        <v>238</v>
      </c>
      <c r="C107" s="48">
        <v>6100</v>
      </c>
      <c r="D107" s="48">
        <v>0</v>
      </c>
      <c r="E107" s="48">
        <v>-6100</v>
      </c>
      <c r="F107" s="253">
        <v>4000</v>
      </c>
      <c r="G107" s="59">
        <v>4000</v>
      </c>
    </row>
    <row r="108" spans="1:8">
      <c r="A108" s="30" t="s">
        <v>1831</v>
      </c>
      <c r="B108" s="30" t="s">
        <v>239</v>
      </c>
      <c r="C108" s="48">
        <v>18067.330000000002</v>
      </c>
      <c r="D108" s="48">
        <v>0</v>
      </c>
      <c r="E108" s="48">
        <v>-18067.330000000002</v>
      </c>
      <c r="F108" s="253">
        <v>25000</v>
      </c>
      <c r="G108" s="59">
        <v>25000</v>
      </c>
    </row>
    <row r="109" spans="1:8">
      <c r="A109" s="30" t="s">
        <v>240</v>
      </c>
      <c r="B109" s="30" t="s">
        <v>241</v>
      </c>
      <c r="C109" s="48">
        <v>13846.2</v>
      </c>
      <c r="D109" s="48">
        <v>0</v>
      </c>
      <c r="E109" s="48">
        <v>-13846.2</v>
      </c>
      <c r="F109" s="253">
        <v>20000</v>
      </c>
      <c r="G109" s="59">
        <v>20000</v>
      </c>
    </row>
    <row r="110" spans="1:8">
      <c r="A110" s="30" t="s">
        <v>1832</v>
      </c>
      <c r="B110" s="30" t="s">
        <v>242</v>
      </c>
      <c r="C110" s="48">
        <v>15578.64</v>
      </c>
      <c r="D110" s="48">
        <v>0</v>
      </c>
      <c r="E110" s="48">
        <v>-15578.64</v>
      </c>
      <c r="F110" s="253">
        <v>25000</v>
      </c>
      <c r="G110" s="59">
        <v>25000</v>
      </c>
    </row>
    <row r="111" spans="1:8">
      <c r="A111" s="30" t="s">
        <v>1833</v>
      </c>
      <c r="B111" s="30" t="s">
        <v>243</v>
      </c>
      <c r="C111" s="48">
        <v>7678.41</v>
      </c>
      <c r="D111" s="48">
        <v>0</v>
      </c>
      <c r="E111" s="48">
        <v>-7678.41</v>
      </c>
      <c r="F111" s="253">
        <v>0</v>
      </c>
      <c r="G111" s="59">
        <v>0</v>
      </c>
    </row>
    <row r="112" spans="1:8">
      <c r="A112" s="30" t="s">
        <v>1834</v>
      </c>
      <c r="B112" s="30" t="s">
        <v>244</v>
      </c>
      <c r="C112" s="48">
        <v>11087.51</v>
      </c>
      <c r="D112" s="48">
        <v>0</v>
      </c>
      <c r="E112" s="48">
        <v>-11087.51</v>
      </c>
      <c r="F112" s="253">
        <v>0</v>
      </c>
      <c r="G112" s="59">
        <v>0</v>
      </c>
    </row>
    <row r="113" spans="1:7">
      <c r="A113" s="30" t="s">
        <v>1835</v>
      </c>
      <c r="B113" s="30" t="s">
        <v>245</v>
      </c>
      <c r="C113" s="48">
        <v>10976.95</v>
      </c>
      <c r="D113" s="48">
        <v>0</v>
      </c>
      <c r="E113" s="48">
        <v>-10976.95</v>
      </c>
      <c r="F113" s="253">
        <v>25000</v>
      </c>
      <c r="G113" s="59">
        <v>25000</v>
      </c>
    </row>
    <row r="114" spans="1:7">
      <c r="A114" s="30" t="s">
        <v>1836</v>
      </c>
      <c r="B114" s="30" t="s">
        <v>246</v>
      </c>
      <c r="C114" s="48">
        <v>6576.95</v>
      </c>
      <c r="D114" s="48">
        <v>0</v>
      </c>
      <c r="E114" s="48">
        <v>-6576.95</v>
      </c>
      <c r="F114" s="253">
        <v>25000</v>
      </c>
      <c r="G114" s="59">
        <v>25000</v>
      </c>
    </row>
    <row r="115" spans="1:7">
      <c r="A115" s="30" t="s">
        <v>247</v>
      </c>
      <c r="B115" s="30" t="s">
        <v>248</v>
      </c>
      <c r="C115" s="48">
        <v>175400</v>
      </c>
      <c r="D115" s="48">
        <v>0</v>
      </c>
      <c r="E115" s="48">
        <v>-175400</v>
      </c>
      <c r="F115" s="253">
        <v>0</v>
      </c>
      <c r="G115" s="59">
        <v>0</v>
      </c>
    </row>
    <row r="116" spans="1:7">
      <c r="C116" s="48"/>
      <c r="D116" s="48"/>
      <c r="E116" s="48"/>
      <c r="F116" s="253"/>
    </row>
    <row r="117" spans="1:7">
      <c r="A117" s="49" t="s">
        <v>249</v>
      </c>
      <c r="B117" s="52"/>
      <c r="C117" s="51">
        <v>3013588.1</v>
      </c>
      <c r="D117" s="51">
        <v>2130331.81</v>
      </c>
      <c r="E117" s="51">
        <v>-883256.2899999998</v>
      </c>
      <c r="F117" s="254">
        <v>2901226.4483757545</v>
      </c>
      <c r="G117" s="73">
        <f>SUM(G44:G115)</f>
        <v>3054129.4081424242</v>
      </c>
    </row>
    <row r="118" spans="1:7">
      <c r="C118" s="48"/>
      <c r="D118" s="48"/>
      <c r="E118" s="48"/>
      <c r="F118" s="253"/>
    </row>
    <row r="119" spans="1:7" ht="13.5" thickBot="1">
      <c r="A119" s="43" t="s">
        <v>250</v>
      </c>
      <c r="B119" s="53"/>
      <c r="C119" s="54">
        <v>-2462667.0900000008</v>
      </c>
      <c r="D119" s="54">
        <v>2246498.19</v>
      </c>
      <c r="E119" s="54">
        <v>4709165.2799999993</v>
      </c>
      <c r="F119" s="255">
        <v>224244.87162424671</v>
      </c>
      <c r="G119" s="73">
        <f>G41-G117</f>
        <v>467803.96060757712</v>
      </c>
    </row>
    <row r="120" spans="1:7" ht="13.5" thickTop="1"/>
  </sheetData>
  <mergeCells count="2">
    <mergeCell ref="A3:F3"/>
    <mergeCell ref="A6:F6"/>
  </mergeCells>
  <pageMargins left="0.7" right="0.7" top="0.75" bottom="0.75" header="0.3" footer="0.3"/>
  <pageSetup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5"/>
  <sheetViews>
    <sheetView zoomScale="150" zoomScaleNormal="150" workbookViewId="0">
      <selection activeCell="A4" sqref="A4:F4"/>
    </sheetView>
  </sheetViews>
  <sheetFormatPr defaultRowHeight="12.75"/>
  <cols>
    <col min="1" max="1" width="46.42578125" bestFit="1" customWidth="1"/>
    <col min="2" max="2" width="8.7109375" customWidth="1"/>
    <col min="3" max="5" width="14.28515625" hidden="1" customWidth="1"/>
    <col min="6" max="6" width="14.28515625" customWidth="1"/>
    <col min="7" max="7" width="13" style="59" customWidth="1"/>
    <col min="8" max="8" width="28" customWidth="1"/>
    <col min="256" max="256" width="46.42578125" bestFit="1" customWidth="1"/>
    <col min="257" max="257" width="8.7109375" customWidth="1"/>
    <col min="258" max="262" width="14.28515625" customWidth="1"/>
    <col min="512" max="512" width="46.42578125" bestFit="1" customWidth="1"/>
    <col min="513" max="513" width="8.7109375" customWidth="1"/>
    <col min="514" max="518" width="14.28515625" customWidth="1"/>
    <col min="768" max="768" width="46.42578125" bestFit="1" customWidth="1"/>
    <col min="769" max="769" width="8.7109375" customWidth="1"/>
    <col min="770" max="774" width="14.28515625" customWidth="1"/>
    <col min="1024" max="1024" width="46.42578125" bestFit="1" customWidth="1"/>
    <col min="1025" max="1025" width="8.7109375" customWidth="1"/>
    <col min="1026" max="1030" width="14.28515625" customWidth="1"/>
    <col min="1280" max="1280" width="46.42578125" bestFit="1" customWidth="1"/>
    <col min="1281" max="1281" width="8.7109375" customWidth="1"/>
    <col min="1282" max="1286" width="14.28515625" customWidth="1"/>
    <col min="1536" max="1536" width="46.42578125" bestFit="1" customWidth="1"/>
    <col min="1537" max="1537" width="8.7109375" customWidth="1"/>
    <col min="1538" max="1542" width="14.28515625" customWidth="1"/>
    <col min="1792" max="1792" width="46.42578125" bestFit="1" customWidth="1"/>
    <col min="1793" max="1793" width="8.7109375" customWidth="1"/>
    <col min="1794" max="1798" width="14.28515625" customWidth="1"/>
    <col min="2048" max="2048" width="46.42578125" bestFit="1" customWidth="1"/>
    <col min="2049" max="2049" width="8.7109375" customWidth="1"/>
    <col min="2050" max="2054" width="14.28515625" customWidth="1"/>
    <col min="2304" max="2304" width="46.42578125" bestFit="1" customWidth="1"/>
    <col min="2305" max="2305" width="8.7109375" customWidth="1"/>
    <col min="2306" max="2310" width="14.28515625" customWidth="1"/>
    <col min="2560" max="2560" width="46.42578125" bestFit="1" customWidth="1"/>
    <col min="2561" max="2561" width="8.7109375" customWidth="1"/>
    <col min="2562" max="2566" width="14.28515625" customWidth="1"/>
    <col min="2816" max="2816" width="46.42578125" bestFit="1" customWidth="1"/>
    <col min="2817" max="2817" width="8.7109375" customWidth="1"/>
    <col min="2818" max="2822" width="14.28515625" customWidth="1"/>
    <col min="3072" max="3072" width="46.42578125" bestFit="1" customWidth="1"/>
    <col min="3073" max="3073" width="8.7109375" customWidth="1"/>
    <col min="3074" max="3078" width="14.28515625" customWidth="1"/>
    <col min="3328" max="3328" width="46.42578125" bestFit="1" customWidth="1"/>
    <col min="3329" max="3329" width="8.7109375" customWidth="1"/>
    <col min="3330" max="3334" width="14.28515625" customWidth="1"/>
    <col min="3584" max="3584" width="46.42578125" bestFit="1" customWidth="1"/>
    <col min="3585" max="3585" width="8.7109375" customWidth="1"/>
    <col min="3586" max="3590" width="14.28515625" customWidth="1"/>
    <col min="3840" max="3840" width="46.42578125" bestFit="1" customWidth="1"/>
    <col min="3841" max="3841" width="8.7109375" customWidth="1"/>
    <col min="3842" max="3846" width="14.28515625" customWidth="1"/>
    <col min="4096" max="4096" width="46.42578125" bestFit="1" customWidth="1"/>
    <col min="4097" max="4097" width="8.7109375" customWidth="1"/>
    <col min="4098" max="4102" width="14.28515625" customWidth="1"/>
    <col min="4352" max="4352" width="46.42578125" bestFit="1" customWidth="1"/>
    <col min="4353" max="4353" width="8.7109375" customWidth="1"/>
    <col min="4354" max="4358" width="14.28515625" customWidth="1"/>
    <col min="4608" max="4608" width="46.42578125" bestFit="1" customWidth="1"/>
    <col min="4609" max="4609" width="8.7109375" customWidth="1"/>
    <col min="4610" max="4614" width="14.28515625" customWidth="1"/>
    <col min="4864" max="4864" width="46.42578125" bestFit="1" customWidth="1"/>
    <col min="4865" max="4865" width="8.7109375" customWidth="1"/>
    <col min="4866" max="4870" width="14.28515625" customWidth="1"/>
    <col min="5120" max="5120" width="46.42578125" bestFit="1" customWidth="1"/>
    <col min="5121" max="5121" width="8.7109375" customWidth="1"/>
    <col min="5122" max="5126" width="14.28515625" customWidth="1"/>
    <col min="5376" max="5376" width="46.42578125" bestFit="1" customWidth="1"/>
    <col min="5377" max="5377" width="8.7109375" customWidth="1"/>
    <col min="5378" max="5382" width="14.28515625" customWidth="1"/>
    <col min="5632" max="5632" width="46.42578125" bestFit="1" customWidth="1"/>
    <col min="5633" max="5633" width="8.7109375" customWidth="1"/>
    <col min="5634" max="5638" width="14.28515625" customWidth="1"/>
    <col min="5888" max="5888" width="46.42578125" bestFit="1" customWidth="1"/>
    <col min="5889" max="5889" width="8.7109375" customWidth="1"/>
    <col min="5890" max="5894" width="14.28515625" customWidth="1"/>
    <col min="6144" max="6144" width="46.42578125" bestFit="1" customWidth="1"/>
    <col min="6145" max="6145" width="8.7109375" customWidth="1"/>
    <col min="6146" max="6150" width="14.28515625" customWidth="1"/>
    <col min="6400" max="6400" width="46.42578125" bestFit="1" customWidth="1"/>
    <col min="6401" max="6401" width="8.7109375" customWidth="1"/>
    <col min="6402" max="6406" width="14.28515625" customWidth="1"/>
    <col min="6656" max="6656" width="46.42578125" bestFit="1" customWidth="1"/>
    <col min="6657" max="6657" width="8.7109375" customWidth="1"/>
    <col min="6658" max="6662" width="14.28515625" customWidth="1"/>
    <col min="6912" max="6912" width="46.42578125" bestFit="1" customWidth="1"/>
    <col min="6913" max="6913" width="8.7109375" customWidth="1"/>
    <col min="6914" max="6918" width="14.28515625" customWidth="1"/>
    <col min="7168" max="7168" width="46.42578125" bestFit="1" customWidth="1"/>
    <col min="7169" max="7169" width="8.7109375" customWidth="1"/>
    <col min="7170" max="7174" width="14.28515625" customWidth="1"/>
    <col min="7424" max="7424" width="46.42578125" bestFit="1" customWidth="1"/>
    <col min="7425" max="7425" width="8.7109375" customWidth="1"/>
    <col min="7426" max="7430" width="14.28515625" customWidth="1"/>
    <col min="7680" max="7680" width="46.42578125" bestFit="1" customWidth="1"/>
    <col min="7681" max="7681" width="8.7109375" customWidth="1"/>
    <col min="7682" max="7686" width="14.28515625" customWidth="1"/>
    <col min="7936" max="7936" width="46.42578125" bestFit="1" customWidth="1"/>
    <col min="7937" max="7937" width="8.7109375" customWidth="1"/>
    <col min="7938" max="7942" width="14.28515625" customWidth="1"/>
    <col min="8192" max="8192" width="46.42578125" bestFit="1" customWidth="1"/>
    <col min="8193" max="8193" width="8.7109375" customWidth="1"/>
    <col min="8194" max="8198" width="14.28515625" customWidth="1"/>
    <col min="8448" max="8448" width="46.42578125" bestFit="1" customWidth="1"/>
    <col min="8449" max="8449" width="8.7109375" customWidth="1"/>
    <col min="8450" max="8454" width="14.28515625" customWidth="1"/>
    <col min="8704" max="8704" width="46.42578125" bestFit="1" customWidth="1"/>
    <col min="8705" max="8705" width="8.7109375" customWidth="1"/>
    <col min="8706" max="8710" width="14.28515625" customWidth="1"/>
    <col min="8960" max="8960" width="46.42578125" bestFit="1" customWidth="1"/>
    <col min="8961" max="8961" width="8.7109375" customWidth="1"/>
    <col min="8962" max="8966" width="14.28515625" customWidth="1"/>
    <col min="9216" max="9216" width="46.42578125" bestFit="1" customWidth="1"/>
    <col min="9217" max="9217" width="8.7109375" customWidth="1"/>
    <col min="9218" max="9222" width="14.28515625" customWidth="1"/>
    <col min="9472" max="9472" width="46.42578125" bestFit="1" customWidth="1"/>
    <col min="9473" max="9473" width="8.7109375" customWidth="1"/>
    <col min="9474" max="9478" width="14.28515625" customWidth="1"/>
    <col min="9728" max="9728" width="46.42578125" bestFit="1" customWidth="1"/>
    <col min="9729" max="9729" width="8.7109375" customWidth="1"/>
    <col min="9730" max="9734" width="14.28515625" customWidth="1"/>
    <col min="9984" max="9984" width="46.42578125" bestFit="1" customWidth="1"/>
    <col min="9985" max="9985" width="8.7109375" customWidth="1"/>
    <col min="9986" max="9990" width="14.28515625" customWidth="1"/>
    <col min="10240" max="10240" width="46.42578125" bestFit="1" customWidth="1"/>
    <col min="10241" max="10241" width="8.7109375" customWidth="1"/>
    <col min="10242" max="10246" width="14.28515625" customWidth="1"/>
    <col min="10496" max="10496" width="46.42578125" bestFit="1" customWidth="1"/>
    <col min="10497" max="10497" width="8.7109375" customWidth="1"/>
    <col min="10498" max="10502" width="14.28515625" customWidth="1"/>
    <col min="10752" max="10752" width="46.42578125" bestFit="1" customWidth="1"/>
    <col min="10753" max="10753" width="8.7109375" customWidth="1"/>
    <col min="10754" max="10758" width="14.28515625" customWidth="1"/>
    <col min="11008" max="11008" width="46.42578125" bestFit="1" customWidth="1"/>
    <col min="11009" max="11009" width="8.7109375" customWidth="1"/>
    <col min="11010" max="11014" width="14.28515625" customWidth="1"/>
    <col min="11264" max="11264" width="46.42578125" bestFit="1" customWidth="1"/>
    <col min="11265" max="11265" width="8.7109375" customWidth="1"/>
    <col min="11266" max="11270" width="14.28515625" customWidth="1"/>
    <col min="11520" max="11520" width="46.42578125" bestFit="1" customWidth="1"/>
    <col min="11521" max="11521" width="8.7109375" customWidth="1"/>
    <col min="11522" max="11526" width="14.28515625" customWidth="1"/>
    <col min="11776" max="11776" width="46.42578125" bestFit="1" customWidth="1"/>
    <col min="11777" max="11777" width="8.7109375" customWidth="1"/>
    <col min="11778" max="11782" width="14.28515625" customWidth="1"/>
    <col min="12032" max="12032" width="46.42578125" bestFit="1" customWidth="1"/>
    <col min="12033" max="12033" width="8.7109375" customWidth="1"/>
    <col min="12034" max="12038" width="14.28515625" customWidth="1"/>
    <col min="12288" max="12288" width="46.42578125" bestFit="1" customWidth="1"/>
    <col min="12289" max="12289" width="8.7109375" customWidth="1"/>
    <col min="12290" max="12294" width="14.28515625" customWidth="1"/>
    <col min="12544" max="12544" width="46.42578125" bestFit="1" customWidth="1"/>
    <col min="12545" max="12545" width="8.7109375" customWidth="1"/>
    <col min="12546" max="12550" width="14.28515625" customWidth="1"/>
    <col min="12800" max="12800" width="46.42578125" bestFit="1" customWidth="1"/>
    <col min="12801" max="12801" width="8.7109375" customWidth="1"/>
    <col min="12802" max="12806" width="14.28515625" customWidth="1"/>
    <col min="13056" max="13056" width="46.42578125" bestFit="1" customWidth="1"/>
    <col min="13057" max="13057" width="8.7109375" customWidth="1"/>
    <col min="13058" max="13062" width="14.28515625" customWidth="1"/>
    <col min="13312" max="13312" width="46.42578125" bestFit="1" customWidth="1"/>
    <col min="13313" max="13313" width="8.7109375" customWidth="1"/>
    <col min="13314" max="13318" width="14.28515625" customWidth="1"/>
    <col min="13568" max="13568" width="46.42578125" bestFit="1" customWidth="1"/>
    <col min="13569" max="13569" width="8.7109375" customWidth="1"/>
    <col min="13570" max="13574" width="14.28515625" customWidth="1"/>
    <col min="13824" max="13824" width="46.42578125" bestFit="1" customWidth="1"/>
    <col min="13825" max="13825" width="8.7109375" customWidth="1"/>
    <col min="13826" max="13830" width="14.28515625" customWidth="1"/>
    <col min="14080" max="14080" width="46.42578125" bestFit="1" customWidth="1"/>
    <col min="14081" max="14081" width="8.7109375" customWidth="1"/>
    <col min="14082" max="14086" width="14.28515625" customWidth="1"/>
    <col min="14336" max="14336" width="46.42578125" bestFit="1" customWidth="1"/>
    <col min="14337" max="14337" width="8.7109375" customWidth="1"/>
    <col min="14338" max="14342" width="14.28515625" customWidth="1"/>
    <col min="14592" max="14592" width="46.42578125" bestFit="1" customWidth="1"/>
    <col min="14593" max="14593" width="8.7109375" customWidth="1"/>
    <col min="14594" max="14598" width="14.28515625" customWidth="1"/>
    <col min="14848" max="14848" width="46.42578125" bestFit="1" customWidth="1"/>
    <col min="14849" max="14849" width="8.7109375" customWidth="1"/>
    <col min="14850" max="14854" width="14.28515625" customWidth="1"/>
    <col min="15104" max="15104" width="46.42578125" bestFit="1" customWidth="1"/>
    <col min="15105" max="15105" width="8.7109375" customWidth="1"/>
    <col min="15106" max="15110" width="14.28515625" customWidth="1"/>
    <col min="15360" max="15360" width="46.42578125" bestFit="1" customWidth="1"/>
    <col min="15361" max="15361" width="8.7109375" customWidth="1"/>
    <col min="15362" max="15366" width="14.28515625" customWidth="1"/>
    <col min="15616" max="15616" width="46.42578125" bestFit="1" customWidth="1"/>
    <col min="15617" max="15617" width="8.7109375" customWidth="1"/>
    <col min="15618" max="15622" width="14.28515625" customWidth="1"/>
    <col min="15872" max="15872" width="46.42578125" bestFit="1" customWidth="1"/>
    <col min="15873" max="15873" width="8.7109375" customWidth="1"/>
    <col min="15874" max="15878" width="14.28515625" customWidth="1"/>
    <col min="16128" max="16128" width="46.42578125" bestFit="1" customWidth="1"/>
    <col min="16129" max="16129" width="8.7109375" customWidth="1"/>
    <col min="16130" max="16134" width="14.28515625" customWidth="1"/>
  </cols>
  <sheetData>
    <row r="3" spans="1:8" ht="15">
      <c r="A3" s="35" t="s">
        <v>1825</v>
      </c>
      <c r="B3" s="34"/>
      <c r="C3" s="34"/>
      <c r="D3" s="34"/>
      <c r="E3" s="34"/>
      <c r="F3" s="34"/>
    </row>
    <row r="4" spans="1:8" ht="15">
      <c r="A4" s="341" t="s">
        <v>278</v>
      </c>
      <c r="B4" s="341"/>
      <c r="C4" s="341"/>
      <c r="D4" s="341"/>
      <c r="E4" s="341"/>
      <c r="F4" s="341"/>
    </row>
    <row r="5" spans="1:8" ht="15" hidden="1">
      <c r="A5" s="36" t="s">
        <v>54</v>
      </c>
      <c r="B5" s="34"/>
      <c r="C5" s="34"/>
      <c r="D5" s="34"/>
      <c r="E5" s="34"/>
      <c r="F5" s="34"/>
    </row>
    <row r="6" spans="1:8" hidden="1">
      <c r="A6" s="37" t="s">
        <v>54</v>
      </c>
      <c r="B6" s="34"/>
      <c r="C6" s="34"/>
      <c r="D6" s="34"/>
      <c r="E6" s="34"/>
      <c r="F6" s="34"/>
    </row>
    <row r="7" spans="1:8" hidden="1">
      <c r="A7" s="342">
        <v>42460</v>
      </c>
      <c r="B7" s="342"/>
      <c r="C7" s="342"/>
      <c r="D7" s="342"/>
      <c r="E7" s="342"/>
      <c r="F7" s="342"/>
    </row>
    <row r="8" spans="1:8">
      <c r="A8" s="38"/>
      <c r="B8" s="38"/>
      <c r="C8" s="38"/>
      <c r="D8" s="38"/>
      <c r="E8" s="38"/>
      <c r="F8" s="38"/>
    </row>
    <row r="9" spans="1:8" ht="13.5" thickBot="1">
      <c r="C9" s="17" t="s">
        <v>251</v>
      </c>
      <c r="D9" s="17" t="s">
        <v>251</v>
      </c>
      <c r="E9" s="17" t="s">
        <v>251</v>
      </c>
      <c r="F9" s="17" t="s">
        <v>44</v>
      </c>
      <c r="G9" s="256" t="s">
        <v>1701</v>
      </c>
    </row>
    <row r="10" spans="1:8" ht="13.5" thickTop="1">
      <c r="A10" s="39"/>
      <c r="B10" s="40"/>
      <c r="C10" s="41" t="s">
        <v>55</v>
      </c>
      <c r="D10" s="41" t="s">
        <v>55</v>
      </c>
      <c r="E10" s="41" t="s">
        <v>55</v>
      </c>
      <c r="F10" s="41"/>
      <c r="G10" s="61"/>
    </row>
    <row r="11" spans="1:8" ht="13.5" thickBot="1">
      <c r="A11" s="42"/>
      <c r="B11" s="43"/>
      <c r="C11" s="44" t="s">
        <v>58</v>
      </c>
      <c r="D11" s="44" t="s">
        <v>57</v>
      </c>
      <c r="E11" s="44" t="s">
        <v>59</v>
      </c>
      <c r="F11" s="44" t="s">
        <v>57</v>
      </c>
      <c r="G11" s="62" t="s">
        <v>57</v>
      </c>
      <c r="H11" s="55" t="s">
        <v>252</v>
      </c>
    </row>
    <row r="12" spans="1:8" ht="13.5" thickTop="1">
      <c r="A12" s="45" t="s">
        <v>60</v>
      </c>
      <c r="B12" s="46"/>
      <c r="C12" s="47"/>
      <c r="D12" s="47"/>
      <c r="E12" s="47"/>
      <c r="F12" s="47"/>
    </row>
    <row r="13" spans="1:8">
      <c r="A13" s="30" t="s">
        <v>279</v>
      </c>
      <c r="B13" s="30" t="s">
        <v>280</v>
      </c>
      <c r="C13" s="56">
        <v>18272.5</v>
      </c>
      <c r="D13" s="56">
        <v>37125</v>
      </c>
      <c r="E13" s="56">
        <v>18852.5</v>
      </c>
      <c r="F13" s="257">
        <v>24363.333333333336</v>
      </c>
      <c r="G13" s="59">
        <f>C13/9*12</f>
        <v>24363.333333333336</v>
      </c>
      <c r="H13" t="s">
        <v>1004</v>
      </c>
    </row>
    <row r="14" spans="1:8">
      <c r="A14" s="30" t="s">
        <v>281</v>
      </c>
      <c r="B14" s="30" t="s">
        <v>282</v>
      </c>
      <c r="C14" s="56">
        <v>31373.040000000001</v>
      </c>
      <c r="D14" s="56">
        <v>125491.87</v>
      </c>
      <c r="E14" s="56">
        <v>94118.829999999987</v>
      </c>
      <c r="F14" s="257">
        <v>125492</v>
      </c>
      <c r="G14" s="63">
        <v>125492</v>
      </c>
      <c r="H14" t="s">
        <v>1074</v>
      </c>
    </row>
    <row r="15" spans="1:8">
      <c r="A15" s="30"/>
      <c r="B15" s="30"/>
      <c r="C15" s="56"/>
      <c r="D15" s="56"/>
      <c r="E15" s="56"/>
      <c r="F15" s="257"/>
    </row>
    <row r="16" spans="1:8">
      <c r="A16" s="49" t="s">
        <v>115</v>
      </c>
      <c r="B16" s="50"/>
      <c r="C16" s="57">
        <v>49645.54</v>
      </c>
      <c r="D16" s="57">
        <v>162616.87</v>
      </c>
      <c r="E16" s="57">
        <v>112971.32999999999</v>
      </c>
      <c r="F16" s="258">
        <v>149855.33333333334</v>
      </c>
      <c r="G16" s="75">
        <f>G13+G14</f>
        <v>149855.33333333334</v>
      </c>
      <c r="H16" s="71"/>
    </row>
    <row r="17" spans="1:7">
      <c r="A17" s="46"/>
      <c r="C17" s="56"/>
      <c r="D17" s="56"/>
      <c r="E17" s="56"/>
      <c r="F17" s="257"/>
    </row>
    <row r="18" spans="1:7">
      <c r="A18" s="45" t="s">
        <v>116</v>
      </c>
      <c r="C18" s="56"/>
      <c r="D18" s="56"/>
      <c r="E18" s="56"/>
      <c r="F18" s="257"/>
    </row>
    <row r="19" spans="1:7">
      <c r="A19" s="30" t="s">
        <v>283</v>
      </c>
      <c r="B19" s="30" t="s">
        <v>284</v>
      </c>
      <c r="C19" s="56">
        <v>78611.42</v>
      </c>
      <c r="D19" s="56">
        <v>105550.66</v>
      </c>
      <c r="E19" s="56">
        <v>26939.240000000005</v>
      </c>
      <c r="F19" s="257">
        <v>99413</v>
      </c>
      <c r="G19" s="59">
        <f>35639.17+23687.66+8882.87+(44829/2)+(23923.71/2)</f>
        <v>102586.05499999999</v>
      </c>
    </row>
    <row r="20" spans="1:7">
      <c r="A20" s="30" t="s">
        <v>285</v>
      </c>
      <c r="B20" s="30" t="s">
        <v>286</v>
      </c>
      <c r="C20" s="56">
        <v>1819.05</v>
      </c>
      <c r="D20" s="56">
        <v>3166.52</v>
      </c>
      <c r="E20" s="56">
        <v>1347.47</v>
      </c>
      <c r="F20" s="257">
        <v>2425.4</v>
      </c>
      <c r="G20" s="59">
        <f>C20/9*12</f>
        <v>2425.4</v>
      </c>
    </row>
    <row r="21" spans="1:7">
      <c r="A21" s="30" t="s">
        <v>287</v>
      </c>
      <c r="B21" s="30" t="s">
        <v>288</v>
      </c>
      <c r="C21" s="56">
        <v>1257.8</v>
      </c>
      <c r="D21" s="56">
        <v>5277.53</v>
      </c>
      <c r="E21" s="56">
        <v>4019.7299999999996</v>
      </c>
      <c r="F21" s="257">
        <v>1677.0666666666666</v>
      </c>
      <c r="G21" s="59">
        <f>C21/9*12</f>
        <v>1677.0666666666666</v>
      </c>
    </row>
    <row r="22" spans="1:7">
      <c r="A22" s="30" t="s">
        <v>289</v>
      </c>
      <c r="B22" s="30" t="s">
        <v>290</v>
      </c>
      <c r="C22" s="56">
        <v>0</v>
      </c>
      <c r="D22" s="56">
        <v>4222.03</v>
      </c>
      <c r="E22" s="56">
        <v>4222.03</v>
      </c>
      <c r="F22" s="257">
        <v>4222.03</v>
      </c>
      <c r="G22" s="59">
        <f>F22</f>
        <v>4222.03</v>
      </c>
    </row>
    <row r="23" spans="1:7">
      <c r="A23" s="30" t="s">
        <v>291</v>
      </c>
      <c r="B23" s="30" t="s">
        <v>292</v>
      </c>
      <c r="C23" s="56">
        <f>D23-E23</f>
        <v>1114.6600000000001</v>
      </c>
      <c r="D23" s="56">
        <v>1000</v>
      </c>
      <c r="E23" s="56">
        <v>-114.66000000000008</v>
      </c>
      <c r="F23" s="257">
        <v>1000</v>
      </c>
      <c r="G23" s="63">
        <f>F23</f>
        <v>1000</v>
      </c>
    </row>
    <row r="24" spans="1:7">
      <c r="A24" s="30" t="s">
        <v>293</v>
      </c>
      <c r="B24" s="30" t="s">
        <v>294</v>
      </c>
      <c r="C24" s="56">
        <v>8914.43</v>
      </c>
      <c r="D24" s="56">
        <v>4500</v>
      </c>
      <c r="E24" s="56">
        <v>-4414.43</v>
      </c>
      <c r="F24" s="257">
        <v>10000</v>
      </c>
      <c r="G24" s="59">
        <f>10000</f>
        <v>10000</v>
      </c>
    </row>
    <row r="25" spans="1:7">
      <c r="A25" s="30" t="s">
        <v>295</v>
      </c>
      <c r="B25" s="30" t="s">
        <v>296</v>
      </c>
      <c r="C25" s="56">
        <v>6587.9</v>
      </c>
      <c r="D25" s="56">
        <v>7282.8</v>
      </c>
      <c r="E25" s="56">
        <v>694.90000000000055</v>
      </c>
      <c r="F25" s="257">
        <v>7282.8</v>
      </c>
      <c r="G25" s="59">
        <f>F25</f>
        <v>7282.8</v>
      </c>
    </row>
    <row r="26" spans="1:7">
      <c r="A26" s="30" t="s">
        <v>297</v>
      </c>
      <c r="B26" s="30" t="s">
        <v>298</v>
      </c>
      <c r="C26" s="56">
        <v>1864.75</v>
      </c>
      <c r="D26" s="56">
        <v>1903.46</v>
      </c>
      <c r="E26" s="56">
        <v>38.710000000000036</v>
      </c>
      <c r="F26" s="257">
        <v>1903.46</v>
      </c>
      <c r="G26" s="59">
        <f>F26</f>
        <v>1903.46</v>
      </c>
    </row>
    <row r="27" spans="1:7">
      <c r="A27" s="30" t="s">
        <v>299</v>
      </c>
      <c r="B27" s="30" t="s">
        <v>300</v>
      </c>
      <c r="C27" s="56">
        <v>5736.64</v>
      </c>
      <c r="D27" s="56">
        <v>4500</v>
      </c>
      <c r="E27" s="56">
        <v>-1236.6400000000003</v>
      </c>
      <c r="F27" s="257">
        <v>4500</v>
      </c>
      <c r="G27" s="59">
        <f>F27</f>
        <v>4500</v>
      </c>
    </row>
    <row r="28" spans="1:7">
      <c r="A28" s="30" t="s">
        <v>301</v>
      </c>
      <c r="B28" s="30" t="s">
        <v>302</v>
      </c>
      <c r="C28" s="56">
        <v>0</v>
      </c>
      <c r="D28" s="56">
        <v>5722</v>
      </c>
      <c r="E28" s="56">
        <v>5722</v>
      </c>
      <c r="F28" s="257">
        <v>5722</v>
      </c>
      <c r="G28" s="59">
        <f>F28</f>
        <v>5722</v>
      </c>
    </row>
    <row r="29" spans="1:7">
      <c r="A29" s="30" t="s">
        <v>303</v>
      </c>
      <c r="B29" s="30" t="s">
        <v>304</v>
      </c>
      <c r="C29" s="56">
        <v>1114.99</v>
      </c>
      <c r="D29" s="56">
        <v>4000</v>
      </c>
      <c r="E29" s="56">
        <v>2885.01</v>
      </c>
      <c r="F29" s="257">
        <v>2000</v>
      </c>
      <c r="G29" s="59">
        <v>2000</v>
      </c>
    </row>
    <row r="30" spans="1:7">
      <c r="A30" s="30" t="s">
        <v>305</v>
      </c>
      <c r="B30" s="30" t="s">
        <v>306</v>
      </c>
      <c r="C30" s="56">
        <v>250</v>
      </c>
      <c r="D30" s="56">
        <v>15491.87</v>
      </c>
      <c r="E30" s="56">
        <v>15241.87</v>
      </c>
      <c r="F30" s="257">
        <v>1000</v>
      </c>
      <c r="G30" s="59">
        <v>1000</v>
      </c>
    </row>
    <row r="31" spans="1:7">
      <c r="C31" s="56"/>
      <c r="D31" s="56"/>
      <c r="E31" s="56"/>
      <c r="F31" s="257"/>
    </row>
    <row r="32" spans="1:7">
      <c r="A32" s="49" t="s">
        <v>249</v>
      </c>
      <c r="B32" s="52"/>
      <c r="C32" s="57">
        <v>107271.64</v>
      </c>
      <c r="D32" s="57">
        <v>162616.87</v>
      </c>
      <c r="E32" s="57">
        <v>55345.23000000001</v>
      </c>
      <c r="F32" s="258">
        <v>141145.75666666665</v>
      </c>
      <c r="G32" s="75">
        <f>SUM(G19:G30)</f>
        <v>144318.81166666665</v>
      </c>
    </row>
    <row r="33" spans="1:7">
      <c r="C33" s="56"/>
      <c r="D33" s="56"/>
      <c r="E33" s="56"/>
      <c r="F33" s="257"/>
    </row>
    <row r="34" spans="1:7" ht="13.5" thickBot="1">
      <c r="A34" s="43" t="s">
        <v>250</v>
      </c>
      <c r="B34" s="53"/>
      <c r="C34" s="54">
        <v>-57626.100000000013</v>
      </c>
      <c r="D34" s="54">
        <v>0</v>
      </c>
      <c r="E34" s="54">
        <v>57626.099999999977</v>
      </c>
      <c r="F34" s="259">
        <v>8709.5766666666896</v>
      </c>
      <c r="G34" s="73">
        <f>G16-G32</f>
        <v>5536.5216666666965</v>
      </c>
    </row>
    <row r="35" spans="1:7" ht="13.5" thickTop="1"/>
  </sheetData>
  <mergeCells count="2">
    <mergeCell ref="A4:F4"/>
    <mergeCell ref="A7:F7"/>
  </mergeCells>
  <pageMargins left="0.7" right="0.7" top="0.75" bottom="0.75" header="0.3" footer="0.3"/>
  <pageSetup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1"/>
  <sheetViews>
    <sheetView zoomScale="150" zoomScaleNormal="150" workbookViewId="0">
      <selection activeCell="A4" sqref="A4:F4"/>
    </sheetView>
  </sheetViews>
  <sheetFormatPr defaultRowHeight="12.75"/>
  <cols>
    <col min="1" max="1" width="46.42578125" bestFit="1" customWidth="1"/>
    <col min="2" max="2" width="8.7109375" customWidth="1"/>
    <col min="3" max="5" width="14.28515625" hidden="1" customWidth="1"/>
    <col min="6" max="6" width="14.28515625" customWidth="1"/>
    <col min="7" max="7" width="10.5703125" style="59" bestFit="1" customWidth="1"/>
    <col min="8" max="8" width="21.28515625" customWidth="1"/>
    <col min="256" max="256" width="46.42578125" bestFit="1" customWidth="1"/>
    <col min="257" max="257" width="8.7109375" customWidth="1"/>
    <col min="258" max="262" width="14.28515625" customWidth="1"/>
    <col min="512" max="512" width="46.42578125" bestFit="1" customWidth="1"/>
    <col min="513" max="513" width="8.7109375" customWidth="1"/>
    <col min="514" max="518" width="14.28515625" customWidth="1"/>
    <col min="768" max="768" width="46.42578125" bestFit="1" customWidth="1"/>
    <col min="769" max="769" width="8.7109375" customWidth="1"/>
    <col min="770" max="774" width="14.28515625" customWidth="1"/>
    <col min="1024" max="1024" width="46.42578125" bestFit="1" customWidth="1"/>
    <col min="1025" max="1025" width="8.7109375" customWidth="1"/>
    <col min="1026" max="1030" width="14.28515625" customWidth="1"/>
    <col min="1280" max="1280" width="46.42578125" bestFit="1" customWidth="1"/>
    <col min="1281" max="1281" width="8.7109375" customWidth="1"/>
    <col min="1282" max="1286" width="14.28515625" customWidth="1"/>
    <col min="1536" max="1536" width="46.42578125" bestFit="1" customWidth="1"/>
    <col min="1537" max="1537" width="8.7109375" customWidth="1"/>
    <col min="1538" max="1542" width="14.28515625" customWidth="1"/>
    <col min="1792" max="1792" width="46.42578125" bestFit="1" customWidth="1"/>
    <col min="1793" max="1793" width="8.7109375" customWidth="1"/>
    <col min="1794" max="1798" width="14.28515625" customWidth="1"/>
    <col min="2048" max="2048" width="46.42578125" bestFit="1" customWidth="1"/>
    <col min="2049" max="2049" width="8.7109375" customWidth="1"/>
    <col min="2050" max="2054" width="14.28515625" customWidth="1"/>
    <col min="2304" max="2304" width="46.42578125" bestFit="1" customWidth="1"/>
    <col min="2305" max="2305" width="8.7109375" customWidth="1"/>
    <col min="2306" max="2310" width="14.28515625" customWidth="1"/>
    <col min="2560" max="2560" width="46.42578125" bestFit="1" customWidth="1"/>
    <col min="2561" max="2561" width="8.7109375" customWidth="1"/>
    <col min="2562" max="2566" width="14.28515625" customWidth="1"/>
    <col min="2816" max="2816" width="46.42578125" bestFit="1" customWidth="1"/>
    <col min="2817" max="2817" width="8.7109375" customWidth="1"/>
    <col min="2818" max="2822" width="14.28515625" customWidth="1"/>
    <col min="3072" max="3072" width="46.42578125" bestFit="1" customWidth="1"/>
    <col min="3073" max="3073" width="8.7109375" customWidth="1"/>
    <col min="3074" max="3078" width="14.28515625" customWidth="1"/>
    <col min="3328" max="3328" width="46.42578125" bestFit="1" customWidth="1"/>
    <col min="3329" max="3329" width="8.7109375" customWidth="1"/>
    <col min="3330" max="3334" width="14.28515625" customWidth="1"/>
    <col min="3584" max="3584" width="46.42578125" bestFit="1" customWidth="1"/>
    <col min="3585" max="3585" width="8.7109375" customWidth="1"/>
    <col min="3586" max="3590" width="14.28515625" customWidth="1"/>
    <col min="3840" max="3840" width="46.42578125" bestFit="1" customWidth="1"/>
    <col min="3841" max="3841" width="8.7109375" customWidth="1"/>
    <col min="3842" max="3846" width="14.28515625" customWidth="1"/>
    <col min="4096" max="4096" width="46.42578125" bestFit="1" customWidth="1"/>
    <col min="4097" max="4097" width="8.7109375" customWidth="1"/>
    <col min="4098" max="4102" width="14.28515625" customWidth="1"/>
    <col min="4352" max="4352" width="46.42578125" bestFit="1" customWidth="1"/>
    <col min="4353" max="4353" width="8.7109375" customWidth="1"/>
    <col min="4354" max="4358" width="14.28515625" customWidth="1"/>
    <col min="4608" max="4608" width="46.42578125" bestFit="1" customWidth="1"/>
    <col min="4609" max="4609" width="8.7109375" customWidth="1"/>
    <col min="4610" max="4614" width="14.28515625" customWidth="1"/>
    <col min="4864" max="4864" width="46.42578125" bestFit="1" customWidth="1"/>
    <col min="4865" max="4865" width="8.7109375" customWidth="1"/>
    <col min="4866" max="4870" width="14.28515625" customWidth="1"/>
    <col min="5120" max="5120" width="46.42578125" bestFit="1" customWidth="1"/>
    <col min="5121" max="5121" width="8.7109375" customWidth="1"/>
    <col min="5122" max="5126" width="14.28515625" customWidth="1"/>
    <col min="5376" max="5376" width="46.42578125" bestFit="1" customWidth="1"/>
    <col min="5377" max="5377" width="8.7109375" customWidth="1"/>
    <col min="5378" max="5382" width="14.28515625" customWidth="1"/>
    <col min="5632" max="5632" width="46.42578125" bestFit="1" customWidth="1"/>
    <col min="5633" max="5633" width="8.7109375" customWidth="1"/>
    <col min="5634" max="5638" width="14.28515625" customWidth="1"/>
    <col min="5888" max="5888" width="46.42578125" bestFit="1" customWidth="1"/>
    <col min="5889" max="5889" width="8.7109375" customWidth="1"/>
    <col min="5890" max="5894" width="14.28515625" customWidth="1"/>
    <col min="6144" max="6144" width="46.42578125" bestFit="1" customWidth="1"/>
    <col min="6145" max="6145" width="8.7109375" customWidth="1"/>
    <col min="6146" max="6150" width="14.28515625" customWidth="1"/>
    <col min="6400" max="6400" width="46.42578125" bestFit="1" customWidth="1"/>
    <col min="6401" max="6401" width="8.7109375" customWidth="1"/>
    <col min="6402" max="6406" width="14.28515625" customWidth="1"/>
    <col min="6656" max="6656" width="46.42578125" bestFit="1" customWidth="1"/>
    <col min="6657" max="6657" width="8.7109375" customWidth="1"/>
    <col min="6658" max="6662" width="14.28515625" customWidth="1"/>
    <col min="6912" max="6912" width="46.42578125" bestFit="1" customWidth="1"/>
    <col min="6913" max="6913" width="8.7109375" customWidth="1"/>
    <col min="6914" max="6918" width="14.28515625" customWidth="1"/>
    <col min="7168" max="7168" width="46.42578125" bestFit="1" customWidth="1"/>
    <col min="7169" max="7169" width="8.7109375" customWidth="1"/>
    <col min="7170" max="7174" width="14.28515625" customWidth="1"/>
    <col min="7424" max="7424" width="46.42578125" bestFit="1" customWidth="1"/>
    <col min="7425" max="7425" width="8.7109375" customWidth="1"/>
    <col min="7426" max="7430" width="14.28515625" customWidth="1"/>
    <col min="7680" max="7680" width="46.42578125" bestFit="1" customWidth="1"/>
    <col min="7681" max="7681" width="8.7109375" customWidth="1"/>
    <col min="7682" max="7686" width="14.28515625" customWidth="1"/>
    <col min="7936" max="7936" width="46.42578125" bestFit="1" customWidth="1"/>
    <col min="7937" max="7937" width="8.7109375" customWidth="1"/>
    <col min="7938" max="7942" width="14.28515625" customWidth="1"/>
    <col min="8192" max="8192" width="46.42578125" bestFit="1" customWidth="1"/>
    <col min="8193" max="8193" width="8.7109375" customWidth="1"/>
    <col min="8194" max="8198" width="14.28515625" customWidth="1"/>
    <col min="8448" max="8448" width="46.42578125" bestFit="1" customWidth="1"/>
    <col min="8449" max="8449" width="8.7109375" customWidth="1"/>
    <col min="8450" max="8454" width="14.28515625" customWidth="1"/>
    <col min="8704" max="8704" width="46.42578125" bestFit="1" customWidth="1"/>
    <col min="8705" max="8705" width="8.7109375" customWidth="1"/>
    <col min="8706" max="8710" width="14.28515625" customWidth="1"/>
    <col min="8960" max="8960" width="46.42578125" bestFit="1" customWidth="1"/>
    <col min="8961" max="8961" width="8.7109375" customWidth="1"/>
    <col min="8962" max="8966" width="14.28515625" customWidth="1"/>
    <col min="9216" max="9216" width="46.42578125" bestFit="1" customWidth="1"/>
    <col min="9217" max="9217" width="8.7109375" customWidth="1"/>
    <col min="9218" max="9222" width="14.28515625" customWidth="1"/>
    <col min="9472" max="9472" width="46.42578125" bestFit="1" customWidth="1"/>
    <col min="9473" max="9473" width="8.7109375" customWidth="1"/>
    <col min="9474" max="9478" width="14.28515625" customWidth="1"/>
    <col min="9728" max="9728" width="46.42578125" bestFit="1" customWidth="1"/>
    <col min="9729" max="9729" width="8.7109375" customWidth="1"/>
    <col min="9730" max="9734" width="14.28515625" customWidth="1"/>
    <col min="9984" max="9984" width="46.42578125" bestFit="1" customWidth="1"/>
    <col min="9985" max="9985" width="8.7109375" customWidth="1"/>
    <col min="9986" max="9990" width="14.28515625" customWidth="1"/>
    <col min="10240" max="10240" width="46.42578125" bestFit="1" customWidth="1"/>
    <col min="10241" max="10241" width="8.7109375" customWidth="1"/>
    <col min="10242" max="10246" width="14.28515625" customWidth="1"/>
    <col min="10496" max="10496" width="46.42578125" bestFit="1" customWidth="1"/>
    <col min="10497" max="10497" width="8.7109375" customWidth="1"/>
    <col min="10498" max="10502" width="14.28515625" customWidth="1"/>
    <col min="10752" max="10752" width="46.42578125" bestFit="1" customWidth="1"/>
    <col min="10753" max="10753" width="8.7109375" customWidth="1"/>
    <col min="10754" max="10758" width="14.28515625" customWidth="1"/>
    <col min="11008" max="11008" width="46.42578125" bestFit="1" customWidth="1"/>
    <col min="11009" max="11009" width="8.7109375" customWidth="1"/>
    <col min="11010" max="11014" width="14.28515625" customWidth="1"/>
    <col min="11264" max="11264" width="46.42578125" bestFit="1" customWidth="1"/>
    <col min="11265" max="11265" width="8.7109375" customWidth="1"/>
    <col min="11266" max="11270" width="14.28515625" customWidth="1"/>
    <col min="11520" max="11520" width="46.42578125" bestFit="1" customWidth="1"/>
    <col min="11521" max="11521" width="8.7109375" customWidth="1"/>
    <col min="11522" max="11526" width="14.28515625" customWidth="1"/>
    <col min="11776" max="11776" width="46.42578125" bestFit="1" customWidth="1"/>
    <col min="11777" max="11777" width="8.7109375" customWidth="1"/>
    <col min="11778" max="11782" width="14.28515625" customWidth="1"/>
    <col min="12032" max="12032" width="46.42578125" bestFit="1" customWidth="1"/>
    <col min="12033" max="12033" width="8.7109375" customWidth="1"/>
    <col min="12034" max="12038" width="14.28515625" customWidth="1"/>
    <col min="12288" max="12288" width="46.42578125" bestFit="1" customWidth="1"/>
    <col min="12289" max="12289" width="8.7109375" customWidth="1"/>
    <col min="12290" max="12294" width="14.28515625" customWidth="1"/>
    <col min="12544" max="12544" width="46.42578125" bestFit="1" customWidth="1"/>
    <col min="12545" max="12545" width="8.7109375" customWidth="1"/>
    <col min="12546" max="12550" width="14.28515625" customWidth="1"/>
    <col min="12800" max="12800" width="46.42578125" bestFit="1" customWidth="1"/>
    <col min="12801" max="12801" width="8.7109375" customWidth="1"/>
    <col min="12802" max="12806" width="14.28515625" customWidth="1"/>
    <col min="13056" max="13056" width="46.42578125" bestFit="1" customWidth="1"/>
    <col min="13057" max="13057" width="8.7109375" customWidth="1"/>
    <col min="13058" max="13062" width="14.28515625" customWidth="1"/>
    <col min="13312" max="13312" width="46.42578125" bestFit="1" customWidth="1"/>
    <col min="13313" max="13313" width="8.7109375" customWidth="1"/>
    <col min="13314" max="13318" width="14.28515625" customWidth="1"/>
    <col min="13568" max="13568" width="46.42578125" bestFit="1" customWidth="1"/>
    <col min="13569" max="13569" width="8.7109375" customWidth="1"/>
    <col min="13570" max="13574" width="14.28515625" customWidth="1"/>
    <col min="13824" max="13824" width="46.42578125" bestFit="1" customWidth="1"/>
    <col min="13825" max="13825" width="8.7109375" customWidth="1"/>
    <col min="13826" max="13830" width="14.28515625" customWidth="1"/>
    <col min="14080" max="14080" width="46.42578125" bestFit="1" customWidth="1"/>
    <col min="14081" max="14081" width="8.7109375" customWidth="1"/>
    <col min="14082" max="14086" width="14.28515625" customWidth="1"/>
    <col min="14336" max="14336" width="46.42578125" bestFit="1" customWidth="1"/>
    <col min="14337" max="14337" width="8.7109375" customWidth="1"/>
    <col min="14338" max="14342" width="14.28515625" customWidth="1"/>
    <col min="14592" max="14592" width="46.42578125" bestFit="1" customWidth="1"/>
    <col min="14593" max="14593" width="8.7109375" customWidth="1"/>
    <col min="14594" max="14598" width="14.28515625" customWidth="1"/>
    <col min="14848" max="14848" width="46.42578125" bestFit="1" customWidth="1"/>
    <col min="14849" max="14849" width="8.7109375" customWidth="1"/>
    <col min="14850" max="14854" width="14.28515625" customWidth="1"/>
    <col min="15104" max="15104" width="46.42578125" bestFit="1" customWidth="1"/>
    <col min="15105" max="15105" width="8.7109375" customWidth="1"/>
    <col min="15106" max="15110" width="14.28515625" customWidth="1"/>
    <col min="15360" max="15360" width="46.42578125" bestFit="1" customWidth="1"/>
    <col min="15361" max="15361" width="8.7109375" customWidth="1"/>
    <col min="15362" max="15366" width="14.28515625" customWidth="1"/>
    <col min="15616" max="15616" width="46.42578125" bestFit="1" customWidth="1"/>
    <col min="15617" max="15617" width="8.7109375" customWidth="1"/>
    <col min="15618" max="15622" width="14.28515625" customWidth="1"/>
    <col min="15872" max="15872" width="46.42578125" bestFit="1" customWidth="1"/>
    <col min="15873" max="15873" width="8.7109375" customWidth="1"/>
    <col min="15874" max="15878" width="14.28515625" customWidth="1"/>
    <col min="16128" max="16128" width="46.42578125" bestFit="1" customWidth="1"/>
    <col min="16129" max="16129" width="8.7109375" customWidth="1"/>
    <col min="16130" max="16134" width="14.28515625" customWidth="1"/>
  </cols>
  <sheetData>
    <row r="3" spans="1:8" ht="15">
      <c r="A3" s="35" t="s">
        <v>1825</v>
      </c>
      <c r="B3" s="34"/>
      <c r="C3" s="34"/>
      <c r="D3" s="34"/>
      <c r="E3" s="34"/>
      <c r="F3" s="34"/>
    </row>
    <row r="4" spans="1:8" ht="15">
      <c r="A4" s="341" t="s">
        <v>307</v>
      </c>
      <c r="B4" s="341"/>
      <c r="C4" s="341"/>
      <c r="D4" s="341"/>
      <c r="E4" s="341"/>
      <c r="F4" s="341"/>
    </row>
    <row r="5" spans="1:8" ht="15">
      <c r="A5" s="64"/>
      <c r="B5" s="64"/>
      <c r="C5" s="64"/>
      <c r="D5" s="64"/>
      <c r="E5" s="64"/>
      <c r="F5" s="64"/>
    </row>
    <row r="6" spans="1:8" ht="13.5" thickBot="1">
      <c r="C6" s="17" t="s">
        <v>251</v>
      </c>
      <c r="D6" s="17" t="s">
        <v>251</v>
      </c>
      <c r="E6" s="17" t="s">
        <v>251</v>
      </c>
      <c r="F6" s="17" t="s">
        <v>44</v>
      </c>
      <c r="G6" s="248" t="s">
        <v>1701</v>
      </c>
    </row>
    <row r="7" spans="1:8" ht="13.5" thickTop="1">
      <c r="A7" s="39"/>
      <c r="B7" s="40"/>
      <c r="C7" s="41" t="s">
        <v>55</v>
      </c>
      <c r="D7" s="41" t="s">
        <v>55</v>
      </c>
      <c r="E7" s="41" t="s">
        <v>55</v>
      </c>
      <c r="F7" s="41"/>
      <c r="G7" s="61"/>
    </row>
    <row r="8" spans="1:8" ht="13.5" thickBot="1">
      <c r="A8" s="42"/>
      <c r="B8" s="43"/>
      <c r="C8" s="44" t="s">
        <v>58</v>
      </c>
      <c r="D8" s="44" t="s">
        <v>57</v>
      </c>
      <c r="E8" s="44" t="s">
        <v>59</v>
      </c>
      <c r="F8" s="44" t="s">
        <v>57</v>
      </c>
      <c r="G8" s="62" t="s">
        <v>57</v>
      </c>
      <c r="H8" s="55" t="s">
        <v>252</v>
      </c>
    </row>
    <row r="9" spans="1:8" ht="13.5" thickTop="1">
      <c r="A9" s="45" t="s">
        <v>60</v>
      </c>
      <c r="B9" s="46"/>
      <c r="C9" s="47"/>
      <c r="D9" s="47"/>
      <c r="E9" s="47"/>
      <c r="F9" s="47"/>
    </row>
    <row r="10" spans="1:8">
      <c r="A10" s="30" t="s">
        <v>308</v>
      </c>
      <c r="B10" s="30" t="s">
        <v>309</v>
      </c>
      <c r="C10" s="56">
        <v>32513</v>
      </c>
      <c r="D10" s="56">
        <v>0</v>
      </c>
      <c r="E10" s="56">
        <v>-32513</v>
      </c>
      <c r="F10" s="56"/>
    </row>
    <row r="11" spans="1:8">
      <c r="A11" s="30" t="s">
        <v>310</v>
      </c>
      <c r="B11" s="30" t="s">
        <v>311</v>
      </c>
      <c r="C11" s="56">
        <v>0</v>
      </c>
      <c r="D11" s="56">
        <v>63542</v>
      </c>
      <c r="E11" s="56">
        <v>63542</v>
      </c>
      <c r="F11" s="257">
        <v>84318</v>
      </c>
      <c r="G11" s="59">
        <v>84318</v>
      </c>
      <c r="H11" t="s">
        <v>1007</v>
      </c>
    </row>
    <row r="12" spans="1:8">
      <c r="A12" s="30"/>
      <c r="B12" s="30"/>
      <c r="C12" s="56"/>
      <c r="D12" s="56"/>
      <c r="E12" s="56"/>
      <c r="F12" s="257"/>
    </row>
    <row r="13" spans="1:8">
      <c r="A13" s="49" t="s">
        <v>115</v>
      </c>
      <c r="B13" s="50"/>
      <c r="C13" s="57">
        <v>32513</v>
      </c>
      <c r="D13" s="57">
        <v>63542</v>
      </c>
      <c r="E13" s="57">
        <v>31029</v>
      </c>
      <c r="F13" s="258">
        <v>84318</v>
      </c>
      <c r="G13" s="75">
        <f>SUM(G11:G11)</f>
        <v>84318</v>
      </c>
    </row>
    <row r="14" spans="1:8">
      <c r="A14" s="46"/>
      <c r="C14" s="56"/>
      <c r="D14" s="56"/>
      <c r="E14" s="56"/>
      <c r="F14" s="257"/>
    </row>
    <row r="15" spans="1:8">
      <c r="A15" s="45" t="s">
        <v>116</v>
      </c>
      <c r="C15" s="56"/>
      <c r="D15" s="56"/>
      <c r="E15" s="56"/>
      <c r="F15" s="257"/>
    </row>
    <row r="16" spans="1:8">
      <c r="A16" s="30" t="s">
        <v>312</v>
      </c>
      <c r="B16" s="30" t="s">
        <v>313</v>
      </c>
      <c r="C16" s="56">
        <v>39033.06</v>
      </c>
      <c r="D16" s="56">
        <v>46087</v>
      </c>
      <c r="E16" s="56">
        <v>7053.9400000000023</v>
      </c>
      <c r="F16" s="257">
        <v>46087</v>
      </c>
      <c r="G16" s="59">
        <v>47713.88</v>
      </c>
    </row>
    <row r="17" spans="1:8">
      <c r="A17" s="30" t="s">
        <v>314</v>
      </c>
      <c r="B17" s="30" t="s">
        <v>315</v>
      </c>
      <c r="C17" s="56">
        <v>10229.4</v>
      </c>
      <c r="D17" s="56">
        <v>4863</v>
      </c>
      <c r="E17" s="56">
        <v>-5366.4</v>
      </c>
      <c r="F17" s="257">
        <v>21231</v>
      </c>
      <c r="G17" s="59">
        <f>8000+13231-2520</f>
        <v>18711</v>
      </c>
    </row>
    <row r="18" spans="1:8">
      <c r="A18" s="30" t="s">
        <v>316</v>
      </c>
      <c r="B18" s="30" t="s">
        <v>317</v>
      </c>
      <c r="C18" s="56">
        <v>1097.73</v>
      </c>
      <c r="D18" s="56">
        <v>1000</v>
      </c>
      <c r="E18" s="56">
        <v>-97.730000000000018</v>
      </c>
      <c r="F18" s="257">
        <v>1000</v>
      </c>
      <c r="G18" s="59">
        <f>F18</f>
        <v>1000</v>
      </c>
    </row>
    <row r="19" spans="1:8">
      <c r="A19" s="30" t="s">
        <v>318</v>
      </c>
      <c r="B19" s="30" t="s">
        <v>319</v>
      </c>
      <c r="C19" s="56">
        <v>904.06</v>
      </c>
      <c r="D19" s="56">
        <v>1400</v>
      </c>
      <c r="E19" s="56">
        <v>495.94000000000005</v>
      </c>
      <c r="F19" s="257">
        <v>1400</v>
      </c>
      <c r="G19" s="59">
        <f>F19</f>
        <v>1400</v>
      </c>
    </row>
    <row r="20" spans="1:8">
      <c r="A20" s="30" t="s">
        <v>320</v>
      </c>
      <c r="B20" s="30" t="s">
        <v>321</v>
      </c>
      <c r="C20" s="56">
        <v>0</v>
      </c>
      <c r="D20" s="56">
        <v>1100</v>
      </c>
      <c r="E20" s="56">
        <v>1100</v>
      </c>
      <c r="F20" s="257">
        <v>1100</v>
      </c>
      <c r="G20" s="59">
        <f>F20</f>
        <v>1100</v>
      </c>
    </row>
    <row r="21" spans="1:8">
      <c r="A21" s="30" t="s">
        <v>322</v>
      </c>
      <c r="B21" s="30" t="s">
        <v>323</v>
      </c>
      <c r="C21" s="56">
        <v>708.9</v>
      </c>
      <c r="D21" s="56">
        <v>1000</v>
      </c>
      <c r="E21" s="56">
        <v>291.10000000000002</v>
      </c>
      <c r="F21" s="257">
        <v>1000</v>
      </c>
      <c r="G21" s="59">
        <f>F21</f>
        <v>1000</v>
      </c>
    </row>
    <row r="22" spans="1:8">
      <c r="A22" s="30" t="s">
        <v>324</v>
      </c>
      <c r="B22" s="30" t="s">
        <v>325</v>
      </c>
      <c r="C22" s="56">
        <v>1765.51</v>
      </c>
      <c r="D22" s="56">
        <v>950</v>
      </c>
      <c r="E22" s="56">
        <v>-815.51</v>
      </c>
      <c r="F22" s="257">
        <v>2000</v>
      </c>
      <c r="G22" s="59">
        <v>2000</v>
      </c>
    </row>
    <row r="23" spans="1:8">
      <c r="A23" s="30" t="s">
        <v>326</v>
      </c>
      <c r="B23" s="30" t="s">
        <v>327</v>
      </c>
      <c r="C23" s="56">
        <v>1315.32</v>
      </c>
      <c r="D23" s="56">
        <v>500</v>
      </c>
      <c r="E23" s="56">
        <v>-815.31999999999994</v>
      </c>
      <c r="F23" s="257">
        <v>1500</v>
      </c>
      <c r="G23" s="59">
        <f>1500</f>
        <v>1500</v>
      </c>
    </row>
    <row r="24" spans="1:8">
      <c r="A24" s="30" t="s">
        <v>328</v>
      </c>
      <c r="B24" s="30" t="s">
        <v>329</v>
      </c>
      <c r="C24" s="56">
        <v>890</v>
      </c>
      <c r="D24" s="56">
        <v>0</v>
      </c>
      <c r="E24" s="56">
        <v>-890</v>
      </c>
      <c r="F24" s="257">
        <v>1000</v>
      </c>
      <c r="G24" s="59">
        <f>1000</f>
        <v>1000</v>
      </c>
    </row>
    <row r="25" spans="1:8">
      <c r="A25" s="30" t="s">
        <v>330</v>
      </c>
      <c r="B25" s="30" t="s">
        <v>331</v>
      </c>
      <c r="C25" s="56">
        <v>10425.049999999999</v>
      </c>
      <c r="D25" s="56">
        <v>6642</v>
      </c>
      <c r="E25" s="56">
        <v>-3783.0499999999993</v>
      </c>
      <c r="F25" s="257">
        <v>8000</v>
      </c>
      <c r="G25" s="59">
        <f>8000</f>
        <v>8000</v>
      </c>
    </row>
    <row r="26" spans="1:8">
      <c r="A26" s="30" t="s">
        <v>332</v>
      </c>
      <c r="B26" s="30" t="s">
        <v>333</v>
      </c>
      <c r="C26" s="56">
        <v>46.88</v>
      </c>
      <c r="D26" s="56">
        <v>0</v>
      </c>
      <c r="E26" s="56">
        <v>-46.88</v>
      </c>
      <c r="F26" s="257">
        <v>0</v>
      </c>
      <c r="G26" s="59">
        <v>0</v>
      </c>
    </row>
    <row r="27" spans="1:8">
      <c r="A27" s="30" t="s">
        <v>1810</v>
      </c>
      <c r="C27" s="56"/>
      <c r="D27" s="56"/>
      <c r="E27" s="56"/>
      <c r="F27" s="257"/>
      <c r="G27" s="59">
        <f>'LTD Summary'!J17</f>
        <v>2520</v>
      </c>
      <c r="H27" t="s">
        <v>1806</v>
      </c>
    </row>
    <row r="28" spans="1:8">
      <c r="A28" s="49" t="s">
        <v>249</v>
      </c>
      <c r="B28" s="52"/>
      <c r="C28" s="57">
        <v>66415.91</v>
      </c>
      <c r="D28" s="57">
        <v>63542</v>
      </c>
      <c r="E28" s="57">
        <v>-2873.9099999999962</v>
      </c>
      <c r="F28" s="258">
        <v>84318</v>
      </c>
      <c r="G28" s="73">
        <f>SUM(G16:G27)</f>
        <v>85944.88</v>
      </c>
    </row>
    <row r="29" spans="1:8">
      <c r="C29" s="56"/>
      <c r="D29" s="56"/>
      <c r="E29" s="56"/>
      <c r="F29" s="257"/>
    </row>
    <row r="30" spans="1:8" ht="13.5" thickBot="1">
      <c r="A30" s="43" t="s">
        <v>250</v>
      </c>
      <c r="B30" s="53"/>
      <c r="C30" s="54">
        <v>-33902.910000000003</v>
      </c>
      <c r="D30" s="54">
        <v>0</v>
      </c>
      <c r="E30" s="54">
        <v>33902.909999999996</v>
      </c>
      <c r="F30" s="259">
        <v>0</v>
      </c>
      <c r="G30" s="73">
        <f>G13-G28</f>
        <v>-1626.8800000000047</v>
      </c>
    </row>
    <row r="31" spans="1:8" ht="13.5" thickTop="1"/>
  </sheetData>
  <mergeCells count="1">
    <mergeCell ref="A4:F4"/>
  </mergeCells>
  <pageMargins left="0.7" right="0.7" top="0.75" bottom="0.75" header="0.3" footer="0.3"/>
  <pageSetup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Title</vt:lpstr>
      <vt:lpstr>Cash Flow</vt:lpstr>
      <vt:lpstr>INAC Funding</vt:lpstr>
      <vt:lpstr>Fund Distributions</vt:lpstr>
      <vt:lpstr>BUD Summary - Dept</vt:lpstr>
      <vt:lpstr>BUD Summary - Band Entities</vt:lpstr>
      <vt:lpstr>Dept 1</vt:lpstr>
      <vt:lpstr>Dept 4</vt:lpstr>
      <vt:lpstr>Dept 5</vt:lpstr>
      <vt:lpstr>Dept 6</vt:lpstr>
      <vt:lpstr>Dept 8</vt:lpstr>
      <vt:lpstr>Dept 10</vt:lpstr>
      <vt:lpstr>Dept 11</vt:lpstr>
      <vt:lpstr>Dept 12</vt:lpstr>
      <vt:lpstr>Dept 13</vt:lpstr>
      <vt:lpstr>Dept 16</vt:lpstr>
      <vt:lpstr>Dept 18</vt:lpstr>
      <vt:lpstr>Dept 19</vt:lpstr>
      <vt:lpstr>Dept 22</vt:lpstr>
      <vt:lpstr>Dept 24</vt:lpstr>
      <vt:lpstr>Dept 32</vt:lpstr>
      <vt:lpstr>Dept 34</vt:lpstr>
      <vt:lpstr>Dept 36</vt:lpstr>
      <vt:lpstr>Dept 40</vt:lpstr>
      <vt:lpstr>Dept 52</vt:lpstr>
      <vt:lpstr>Dept 55</vt:lpstr>
      <vt:lpstr>Dept 58</vt:lpstr>
      <vt:lpstr>Dept 84</vt:lpstr>
      <vt:lpstr>Post Office</vt:lpstr>
      <vt:lpstr>Education</vt:lpstr>
      <vt:lpstr>S&amp;R - Admin</vt:lpstr>
      <vt:lpstr>S&amp;R - Bingo</vt:lpstr>
      <vt:lpstr>Gaming</vt:lpstr>
      <vt:lpstr>CMHC Housing</vt:lpstr>
      <vt:lpstr>PCH</vt:lpstr>
      <vt:lpstr>Healing Centre</vt:lpstr>
      <vt:lpstr>FRED</vt:lpstr>
      <vt:lpstr>Health</vt:lpstr>
      <vt:lpstr>LTD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Fauna Kingdon</dc:creator>
  <cp:lastModifiedBy>Mylon Ollila</cp:lastModifiedBy>
  <cp:lastPrinted>2017-02-28T16:22:31Z</cp:lastPrinted>
  <dcterms:created xsi:type="dcterms:W3CDTF">2016-01-12T20:11:23Z</dcterms:created>
  <dcterms:modified xsi:type="dcterms:W3CDTF">2018-11-26T18:42:30Z</dcterms:modified>
</cp:coreProperties>
</file>